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36" firstSheet="1" activeTab="1"/>
  </bookViews>
  <sheets>
    <sheet name="Шаг1. Распорядок рабочего дня" sheetId="1" r:id="rId1"/>
    <sheet name="Шаг2.Технологические показатели" sheetId="2" r:id="rId2"/>
    <sheet name="Шаг3. Финансовые показатели " sheetId="3" r:id="rId3"/>
    <sheet name="Шаг4. Расчёт временных затрат" sheetId="4" r:id="rId4"/>
    <sheet name="Шаг5. Расчёт финансовых зат" sheetId="5" r:id="rId5"/>
    <sheet name="Шаг6. Итоги." sheetId="6" r:id="rId6"/>
  </sheets>
  <definedNames>
    <definedName name="Excel_BuiltIn_Print_Area" localSheetId="3">('Шаг4. Расчёт временных затрат'!$A$1:$I$12,'Шаг4. Расчёт временных затрат'!#REF!)</definedName>
    <definedName name="Excel_BuiltIn_Print_Area" localSheetId="5">('Шаг6. Итоги.'!#REF!,'Шаг6. Итоги.'!$A$1:$L$21)</definedName>
    <definedName name="_xlnm.Print_Area" localSheetId="3">'Шаг4. Расчёт временных затрат'!$A$1:$I$12</definedName>
    <definedName name="_xlnm.Print_Area" localSheetId="4">('Шаг5. Расчёт финансовых зат'!$A$1:$K$5,'Шаг5. Расчёт финансовых зат'!$A$14:$L$14)</definedName>
    <definedName name="_xlnm.Print_Area" localSheetId="5">'Шаг6. Итоги.'!$A$1:$L$21</definedName>
  </definedNames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J14" authorId="0">
      <text>
        <r>
          <rPr>
            <b/>
            <sz val="9"/>
            <color indexed="8"/>
            <rFont val="Tahoma"/>
            <family val="2"/>
          </rPr>
          <t xml:space="preserve">BasAnd:
</t>
        </r>
        <r>
          <rPr>
            <sz val="9"/>
            <color indexed="8"/>
            <rFont val="Tahoma"/>
            <family val="2"/>
          </rPr>
          <t xml:space="preserve">показывать если показатель по потенциальным клиентам более 24480.
 мастера меньше чем у реальных людей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9"/>
            <color indexed="8"/>
            <rFont val="Tahoma"/>
            <family val="2"/>
          </rPr>
          <t xml:space="preserve">BasAnd:
</t>
        </r>
        <r>
          <rPr>
            <sz val="9"/>
            <color indexed="8"/>
            <rFont val="Tahoma"/>
            <family val="2"/>
          </rPr>
          <t>Применяем коэф-нт результативности Ваших сотрудников, хотя на данной стадии продаж коэф-т эффективности выше, так как тут же видно что необходимо в текстах переговорах усовершенствовать.</t>
        </r>
      </text>
    </comment>
    <comment ref="F5" authorId="0">
      <text>
        <r>
          <rPr>
            <b/>
            <sz val="9"/>
            <color indexed="8"/>
            <rFont val="Tahoma"/>
            <family val="2"/>
          </rPr>
          <t xml:space="preserve">BasAnd:
</t>
        </r>
        <r>
          <rPr>
            <sz val="9"/>
            <color indexed="8"/>
            <rFont val="Tahoma"/>
            <family val="2"/>
          </rPr>
          <t>Общая статистика 25%-30% откликов от пользователей соц. сети</t>
        </r>
      </text>
    </comment>
    <comment ref="F8" authorId="0">
      <text>
        <r>
          <rPr>
            <b/>
            <sz val="9"/>
            <color indexed="8"/>
            <rFont val="Tahoma"/>
            <family val="2"/>
          </rPr>
          <t xml:space="preserve">Елена:
</t>
        </r>
        <r>
          <rPr>
            <sz val="9"/>
            <color indexed="8"/>
            <rFont val="Tahoma"/>
            <family val="2"/>
          </rPr>
          <t>Сравните это с вашими затратами!</t>
        </r>
      </text>
    </comment>
    <comment ref="F11" authorId="0">
      <text>
        <r>
          <rPr>
            <b/>
            <sz val="9"/>
            <color indexed="8"/>
            <rFont val="Tahoma"/>
            <family val="2"/>
          </rPr>
          <t xml:space="preserve">Елена:
</t>
        </r>
        <r>
          <rPr>
            <sz val="9"/>
            <color indexed="8"/>
            <rFont val="Tahoma"/>
            <family val="2"/>
          </rPr>
          <t>Сравните это с вашими затратами на 1 теплого клиента</t>
        </r>
      </text>
    </comment>
    <comment ref="J1" authorId="0">
      <text>
        <r>
          <rPr>
            <b/>
            <sz val="9"/>
            <color indexed="8"/>
            <rFont val="Tahoma"/>
            <family val="2"/>
          </rPr>
          <t xml:space="preserve">BasAnd:
</t>
        </r>
        <r>
          <rPr>
            <sz val="9"/>
            <color indexed="8"/>
            <rFont val="Tahoma"/>
            <family val="2"/>
          </rPr>
          <t xml:space="preserve">показывать если показатель по потенциальным клиентам более 24480.
 мастера меньше чем у реальных людей
</t>
        </r>
      </text>
    </comment>
  </commentList>
</comments>
</file>

<file path=xl/sharedStrings.xml><?xml version="1.0" encoding="utf-8"?>
<sst xmlns="http://schemas.openxmlformats.org/spreadsheetml/2006/main" count="265" uniqueCount="207">
  <si>
    <t>Настройки рабочего времени</t>
  </si>
  <si>
    <t>Ед. изм.</t>
  </si>
  <si>
    <t>Значение</t>
  </si>
  <si>
    <t>Возможные значения</t>
  </si>
  <si>
    <t>Текст сообщения об ошибке</t>
  </si>
  <si>
    <t>1.1</t>
  </si>
  <si>
    <t>Число рабочих дней в месяц (среднее значение)</t>
  </si>
  <si>
    <t>день</t>
  </si>
  <si>
    <t>не менее 1</t>
  </si>
  <si>
    <t>значение не должно быть менее 1</t>
  </si>
  <si>
    <t>1.2</t>
  </si>
  <si>
    <t>Число календарных дней в месяц (среднее значение)</t>
  </si>
  <si>
    <t>не менее 28  и не более 31</t>
  </si>
  <si>
    <t>значение необходимо указать  в диапазоне от 28 до 31 включительно</t>
  </si>
  <si>
    <t>1.3</t>
  </si>
  <si>
    <t xml:space="preserve">Кол-во рабочих часов в день </t>
  </si>
  <si>
    <t>час</t>
  </si>
  <si>
    <t>1.4</t>
  </si>
  <si>
    <t>Кол-во рабочих дней в текущем году</t>
  </si>
  <si>
    <t>1.5</t>
  </si>
  <si>
    <t>Кол-во календарных дней в текущем году</t>
  </si>
  <si>
    <t xml:space="preserve">выбрать из списка 365 или 366 </t>
  </si>
  <si>
    <t>1.6</t>
  </si>
  <si>
    <t>Кол-во отпускных дней в году, выпавших на рабочие дни</t>
  </si>
  <si>
    <t>не менее 0</t>
  </si>
  <si>
    <t xml:space="preserve"> значение не может быть отрицательным</t>
  </si>
  <si>
    <t>1.7</t>
  </si>
  <si>
    <t>Средняя продолжительность больничного дней в год на одного сотрудника, выпавших на рабочие дни</t>
  </si>
  <si>
    <t>Примечание: В таблице указаны стандартные  значения рабочего времени сотрудника на полной ставке.</t>
  </si>
  <si>
    <t>Настройки технологии продаж на этапе «Установление контакта»</t>
  </si>
  <si>
    <t>Рекомендации при заполнении</t>
  </si>
  <si>
    <t>Проверяемые значения</t>
  </si>
  <si>
    <t>2.1</t>
  </si>
  <si>
    <t>Сколько времени Ваш сотрудник тратит  на подготовку к звонку (разработка клиента, сбор информации о компании/контакте: найти телефонный номер, создать\открыть карточку компании, посмотреть сайт компании  и т.д.)</t>
  </si>
  <si>
    <t>мин</t>
  </si>
  <si>
    <t>не менее 1 мин.</t>
  </si>
  <si>
    <r>
      <rPr>
        <sz val="11"/>
        <color indexed="8"/>
        <rFont val="Times New Roman"/>
        <family val="1"/>
      </rPr>
      <t xml:space="preserve">Крайний вариант - 1 минута: либо вы себе льстите </t>
    </r>
    <r>
      <rPr>
        <b/>
        <sz val="11"/>
        <color indexed="8"/>
        <rFont val="Wingdings"/>
        <family val="0"/>
      </rPr>
      <t>J</t>
    </r>
    <r>
      <rPr>
        <sz val="11"/>
        <color indexed="8"/>
        <rFont val="Times New Roman"/>
        <family val="1"/>
      </rPr>
      <t>, либо у вас автодозвон</t>
    </r>
  </si>
  <si>
    <t xml:space="preserve">значение не может быть менее 1 </t>
  </si>
  <si>
    <t>2.2</t>
  </si>
  <si>
    <t xml:space="preserve">Сколько времени уходит на то, чтобы взять трубку,  дозвониться до клиента  и начать диалог </t>
  </si>
  <si>
    <t>не менее 0,5 мин.</t>
  </si>
  <si>
    <t xml:space="preserve">значение не может быть менее 0,5 </t>
  </si>
  <si>
    <t>2.3</t>
  </si>
  <si>
    <t>Сколько звонков в день делает ваш сотрудник</t>
  </si>
  <si>
    <t>звонок</t>
  </si>
  <si>
    <t>а)не менее 1;             б) (п.2.1+п.2.2)*п.2.3 не может быть больше чем п.1.3*60</t>
  </si>
  <si>
    <t>а)значение не может быть менее 1 б) Количество звонков, которые делает ваш сотрудник, занимает больше времени, чем количество рабочих часов в день (пункт 1.3). Проверьте ваши данные следующей формулой: значение ((п.2.1+п.2.2)*п.2.3) не должно быть больше, чем значение п.1.3(часы)*60</t>
  </si>
  <si>
    <t>2.4</t>
  </si>
  <si>
    <t>Провести диалог по подготовленному скрипту и выяснить потребности</t>
  </si>
  <si>
    <t>1. В данном пункте нужно оценить время именно на выявление потребностей.  2. Ответы на вопросы, консультование заинтересовавшихся клиентов в другом пункте.                                            3. Если ставите более 3 минут, вы уверены, что человек будет слушать вас дольше?</t>
  </si>
  <si>
    <t xml:space="preserve"> значение не может быть менее 1 </t>
  </si>
  <si>
    <t>2.5</t>
  </si>
  <si>
    <t>Сколько человек в день положительно отреагирует на звонок и продолжит слушать вашего сотрудника</t>
  </si>
  <si>
    <t>чел.</t>
  </si>
  <si>
    <t xml:space="preserve">а) не более п.2.3;           б)((п.2.1+п.2.2)*п.2.3) +(п.2.4.*п.2.5.) не может быть больше чем п.1.3*60    </t>
  </si>
  <si>
    <t>Если вы не знаете этого показателя,  советуем задуматься над контролем эффективности  и результативности холодных звонков.</t>
  </si>
  <si>
    <t xml:space="preserve">а)  значение больше, чем общее количество звонков, совершаемое сотрудником в день (п.2.3); б) Сумма значений больше чем количество рабочих часов в день: (п.2.1+п.2.2)*п.2.3+(п.2.4*п.2.5)) больше чем п.1.3(часы)*60. Проверьте ваши данные!  </t>
  </si>
  <si>
    <t>2.6</t>
  </si>
  <si>
    <t>Довести заинтересованных (из п. 2.5) до целевого действия, запланированного в скрипте (сколько времени занимает презентация/консультация  и ответы на вопросы потенциального клиента: либо  продолжение диалога, либо второй звонок)</t>
  </si>
  <si>
    <t xml:space="preserve">не менее п.2.4               </t>
  </si>
  <si>
    <t>Рекомендация по длительности консультации</t>
  </si>
  <si>
    <t xml:space="preserve">а)значение не может быть менее 1 </t>
  </si>
  <si>
    <t>2.7</t>
  </si>
  <si>
    <t>Сколько человек в день отрегирует на ваше предложение положительно (доведены до целевого действия, запланированного в скрипте)</t>
  </si>
  <si>
    <t>а)не больше чем п.2.5; б)((п.2.1+п.2.2)*п.2.3+п.2.4*п.2.5) +(п.2.6*п.2.7) &lt;= п.1.3(часы)*60</t>
  </si>
  <si>
    <t>Рекомендация по конверсии.  У вас отличная конверсия, похоже  в вашей команде трудятся профессионалы!</t>
  </si>
  <si>
    <t xml:space="preserve">а)  значение больше, чем общее количество заинтересованных клиентов в день (п.2.5) б) Сумма значений больше чем количество рабочих часов в день (п.2.1+п.2.2)*п.2.3+п2.4*п2.5) +(п.2,6*п.2.7) больше чем п.1.3(часы)*60. Проверьте ваши данные! </t>
  </si>
  <si>
    <t>Общая проверка: п.2.3*п2.1+п2.3*п.2.2+п.2.4*п.2.5+п.2.6*п.2.7 &lt;= п.1.3*60</t>
  </si>
  <si>
    <t>Финансовые показатели продаж:</t>
  </si>
  <si>
    <t>Рекомендации шага:</t>
  </si>
  <si>
    <t>3.1</t>
  </si>
  <si>
    <t>Сколько у Вас сотрудников, работающих в данном направлении?</t>
  </si>
  <si>
    <t>чел</t>
  </si>
  <si>
    <t>не  менее 1 человека</t>
  </si>
  <si>
    <t>3.2</t>
  </si>
  <si>
    <t>Какая среднемесячная реальная (на руки) заработная плата менеджера\оператора без НДФЛ и без учёта премиальной части, исходя из полной ставки</t>
  </si>
  <si>
    <t>руб</t>
  </si>
  <si>
    <t>не менее МРОТ 11280 руб.</t>
  </si>
  <si>
    <t>значение не должно быть менее МРОТ вашего региона за вычетом 13% НДС</t>
  </si>
  <si>
    <t>3.3</t>
  </si>
  <si>
    <t>Процент налоговых отчислений с ФОТ</t>
  </si>
  <si>
    <t>%</t>
  </si>
  <si>
    <t>Смотри дополнительные настройки, поле вычисляемое</t>
  </si>
  <si>
    <t>3.4</t>
  </si>
  <si>
    <t>Расходы на заработную плату 1 сотрудника в месяц  с учетом налоговых отчислений</t>
  </si>
  <si>
    <t xml:space="preserve"> Вычисляемое поле, реальная сумма затрат на сотрудника с учётом уплачиваемых налогов</t>
  </si>
  <si>
    <t>3.5</t>
  </si>
  <si>
    <t>Средняя стоимость чека от одной  продажи ваших товаров/услуг</t>
  </si>
  <si>
    <t>не менее 1 рубля.</t>
  </si>
  <si>
    <t>3.6</t>
  </si>
  <si>
    <t>значение не должно быть отрицательным</t>
  </si>
  <si>
    <t>3.7</t>
  </si>
  <si>
    <t>Сколько продаж делает сотрудник в месяц</t>
  </si>
  <si>
    <t>сделка</t>
  </si>
  <si>
    <t>не менее 1 сделки</t>
  </si>
  <si>
    <t>значение не может быть менее 1</t>
  </si>
  <si>
    <t>Дополнительные настройки</t>
  </si>
  <si>
    <t>Налоговые отчисления с ФОТ</t>
  </si>
  <si>
    <t>значение</t>
  </si>
  <si>
    <t xml:space="preserve">НДФЛ </t>
  </si>
  <si>
    <t>ПФР</t>
  </si>
  <si>
    <t>ФСС</t>
  </si>
  <si>
    <t>ФФОМС</t>
  </si>
  <si>
    <t>НС и ПЗ</t>
  </si>
  <si>
    <t>Расчёт временных затрат</t>
  </si>
  <si>
    <t>ед. изм.</t>
  </si>
  <si>
    <t>Кол-во в день</t>
  </si>
  <si>
    <t>Кол-во в месяц</t>
  </si>
  <si>
    <t>Количество в год (с учётом отпуска и больничных листов)</t>
  </si>
  <si>
    <t xml:space="preserve">Процент времени от общего кол-ва </t>
  </si>
  <si>
    <t>4.1.</t>
  </si>
  <si>
    <t>Распределение времени по видам работ  1 сотрудника</t>
  </si>
  <si>
    <t>4.1.1.</t>
  </si>
  <si>
    <r>
      <rPr>
        <sz val="11"/>
        <color indexed="8"/>
        <rFont val="Times New Roman"/>
        <family val="1"/>
      </rPr>
      <t xml:space="preserve">Всего затрачено времени на  этап </t>
    </r>
    <r>
      <rPr>
        <b/>
        <sz val="11"/>
        <color indexed="8"/>
        <rFont val="Times New Roman"/>
        <family val="1"/>
      </rPr>
      <t xml:space="preserve"> Установление контакта </t>
    </r>
    <r>
      <rPr>
        <sz val="11"/>
        <color indexed="8"/>
        <rFont val="Times New Roman"/>
        <family val="1"/>
      </rPr>
      <t>1 сотрудником</t>
    </r>
  </si>
  <si>
    <t>мин.</t>
  </si>
  <si>
    <t>4.1.2.</t>
  </si>
  <si>
    <r>
      <rPr>
        <sz val="11"/>
        <color indexed="8"/>
        <rFont val="Times New Roman"/>
        <family val="1"/>
      </rPr>
      <t xml:space="preserve">Всего затрачено времени на  этап  </t>
    </r>
    <r>
      <rPr>
        <b/>
        <sz val="11"/>
        <color indexed="8"/>
        <rFont val="Times New Roman"/>
        <family val="1"/>
      </rPr>
      <t>Консультация потенциального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клиента</t>
    </r>
    <r>
      <rPr>
        <sz val="11"/>
        <color indexed="8"/>
        <rFont val="Times New Roman"/>
        <family val="1"/>
      </rPr>
      <t xml:space="preserve"> 1 сотрудником</t>
    </r>
  </si>
  <si>
    <t>4.1.3</t>
  </si>
  <si>
    <r>
      <rPr>
        <sz val="11"/>
        <color indexed="8"/>
        <rFont val="Times New Roman"/>
        <family val="1"/>
      </rPr>
      <t xml:space="preserve">Оставшееся время на работу </t>
    </r>
    <r>
      <rPr>
        <b/>
        <sz val="11"/>
        <color indexed="8"/>
        <rFont val="Times New Roman"/>
        <family val="1"/>
      </rPr>
      <t xml:space="preserve">с Теплыми клиентами (остальные стадии продажи) </t>
    </r>
    <r>
      <rPr>
        <sz val="11"/>
        <color indexed="8"/>
        <rFont val="Times New Roman"/>
        <family val="1"/>
      </rPr>
      <t xml:space="preserve"> 1 сотрудника</t>
    </r>
  </si>
  <si>
    <t>4.2.</t>
  </si>
  <si>
    <t>Распределение времени по видам работ ВСЕХ сотрудников</t>
  </si>
  <si>
    <r>
      <rPr>
        <sz val="11"/>
        <color indexed="8"/>
        <rFont val="Times New Roman"/>
        <family val="1"/>
      </rPr>
      <t xml:space="preserve">Всего затрачено времени на  этап </t>
    </r>
    <r>
      <rPr>
        <b/>
        <sz val="11"/>
        <color indexed="8"/>
        <rFont val="Times New Roman"/>
        <family val="1"/>
      </rPr>
      <t xml:space="preserve"> Установление контакта </t>
    </r>
    <r>
      <rPr>
        <sz val="11"/>
        <color indexed="8"/>
        <rFont val="Times New Roman"/>
        <family val="1"/>
      </rPr>
      <t>всеми сотрудниками</t>
    </r>
  </si>
  <si>
    <t>Установление контакта</t>
  </si>
  <si>
    <r>
      <rPr>
        <sz val="11"/>
        <color indexed="8"/>
        <rFont val="Times New Roman"/>
        <family val="1"/>
      </rPr>
      <t xml:space="preserve">Всего затрачено времени на  этап  </t>
    </r>
    <r>
      <rPr>
        <b/>
        <sz val="11"/>
        <color indexed="8"/>
        <rFont val="Times New Roman"/>
        <family val="1"/>
      </rPr>
      <t>Консультация потенциального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клиента </t>
    </r>
    <r>
      <rPr>
        <sz val="11"/>
        <color indexed="8"/>
        <rFont val="Times New Roman"/>
        <family val="1"/>
      </rPr>
      <t>всеми сотрудниками</t>
    </r>
  </si>
  <si>
    <t>Презентация\Консультация</t>
  </si>
  <si>
    <r>
      <rPr>
        <sz val="11"/>
        <color indexed="8"/>
        <rFont val="Times New Roman"/>
        <family val="1"/>
      </rPr>
      <t xml:space="preserve">Оставшееся время на работу </t>
    </r>
    <r>
      <rPr>
        <b/>
        <sz val="11"/>
        <color indexed="8"/>
        <rFont val="Times New Roman"/>
        <family val="1"/>
      </rPr>
      <t xml:space="preserve">с Теплыми клиентами (остальные стадии продажи) </t>
    </r>
    <r>
      <rPr>
        <sz val="11"/>
        <color indexed="8"/>
        <rFont val="Times New Roman"/>
        <family val="1"/>
      </rPr>
      <t>на всех сотрудников</t>
    </r>
  </si>
  <si>
    <t>Остальные этапы продаж</t>
  </si>
  <si>
    <t>Расчёт финансовых затрат</t>
  </si>
  <si>
    <t>Затраты в день</t>
  </si>
  <si>
    <t>Затраты  в месяц</t>
  </si>
  <si>
    <t>Затраты в год (с учётом отпуска и больничных листов)</t>
  </si>
  <si>
    <t xml:space="preserve">Процент затрат от общего кол-ва </t>
  </si>
  <si>
    <t>5.1.</t>
  </si>
  <si>
    <t>Расчёт финансовых затрат на 1 сотрудника</t>
  </si>
  <si>
    <t>5.1.1.</t>
  </si>
  <si>
    <r>
      <rPr>
        <sz val="11"/>
        <color indexed="8"/>
        <rFont val="Times New Roman"/>
        <family val="1"/>
      </rPr>
      <t xml:space="preserve">Всего затрачено на  этап </t>
    </r>
    <r>
      <rPr>
        <b/>
        <sz val="11"/>
        <color indexed="8"/>
        <rFont val="Times New Roman"/>
        <family val="1"/>
      </rPr>
      <t xml:space="preserve"> Установление контакта </t>
    </r>
    <r>
      <rPr>
        <sz val="11"/>
        <color indexed="8"/>
        <rFont val="Times New Roman"/>
        <family val="1"/>
      </rPr>
      <t>на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1 сотрудника</t>
    </r>
  </si>
  <si>
    <t>руб.</t>
  </si>
  <si>
    <t>5.1.2.</t>
  </si>
  <si>
    <r>
      <rPr>
        <sz val="11"/>
        <color indexed="8"/>
        <rFont val="Times New Roman"/>
        <family val="1"/>
      </rPr>
      <t xml:space="preserve">Всего затрачено на  этап  </t>
    </r>
    <r>
      <rPr>
        <b/>
        <sz val="11"/>
        <color indexed="8"/>
        <rFont val="Times New Roman"/>
        <family val="1"/>
      </rPr>
      <t>Консультация потенциального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клиента</t>
    </r>
    <r>
      <rPr>
        <sz val="11"/>
        <color indexed="8"/>
        <rFont val="Times New Roman"/>
        <family val="1"/>
      </rPr>
      <t xml:space="preserve"> на 1 сотрудника</t>
    </r>
  </si>
  <si>
    <t>5.1.3.</t>
  </si>
  <si>
    <r>
      <rPr>
        <sz val="11"/>
        <color indexed="8"/>
        <rFont val="Times New Roman"/>
        <family val="1"/>
      </rPr>
      <t xml:space="preserve">Затраты на работу </t>
    </r>
    <r>
      <rPr>
        <b/>
        <sz val="11"/>
        <color indexed="8"/>
        <rFont val="Times New Roman"/>
        <family val="1"/>
      </rPr>
      <t xml:space="preserve">с Теплыми клиентами (остальные стадии продажи) </t>
    </r>
    <r>
      <rPr>
        <sz val="11"/>
        <color indexed="8"/>
        <rFont val="Times New Roman"/>
        <family val="1"/>
      </rPr>
      <t>на 1 сотрудника</t>
    </r>
  </si>
  <si>
    <t>5.1.4.</t>
  </si>
  <si>
    <r>
      <rPr>
        <sz val="11"/>
        <color indexed="8"/>
        <rFont val="Times New Roman"/>
        <family val="1"/>
      </rPr>
      <t>Общие затраты на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1 сотрудника</t>
    </r>
  </si>
  <si>
    <t>5.2.</t>
  </si>
  <si>
    <t>Расчёт финансовых затрат на ВСЕХ сотрудников</t>
  </si>
  <si>
    <t>5.2.1.</t>
  </si>
  <si>
    <r>
      <rPr>
        <sz val="11"/>
        <color indexed="8"/>
        <rFont val="Times New Roman"/>
        <family val="1"/>
      </rPr>
      <t xml:space="preserve">Всего затрачено на  этап </t>
    </r>
    <r>
      <rPr>
        <b/>
        <sz val="11"/>
        <color indexed="8"/>
        <rFont val="Times New Roman"/>
        <family val="1"/>
      </rPr>
      <t xml:space="preserve"> Установление контакта</t>
    </r>
    <r>
      <rPr>
        <sz val="11"/>
        <color indexed="8"/>
        <rFont val="Times New Roman"/>
        <family val="1"/>
      </rPr>
      <t xml:space="preserve"> на всех сотрудников</t>
    </r>
  </si>
  <si>
    <t>5.2.2.</t>
  </si>
  <si>
    <r>
      <rPr>
        <sz val="11"/>
        <color indexed="8"/>
        <rFont val="Times New Roman"/>
        <family val="1"/>
      </rPr>
      <t xml:space="preserve">Всего затрачено на этап </t>
    </r>
    <r>
      <rPr>
        <b/>
        <sz val="11"/>
        <color indexed="8"/>
        <rFont val="Times New Roman"/>
        <family val="1"/>
      </rPr>
      <t>Консультация потенциального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клиента </t>
    </r>
    <r>
      <rPr>
        <sz val="11"/>
        <color indexed="8"/>
        <rFont val="Times New Roman"/>
        <family val="1"/>
      </rPr>
      <t>на всех сотрудников</t>
    </r>
  </si>
  <si>
    <t>5.2.3.</t>
  </si>
  <si>
    <r>
      <rPr>
        <sz val="11"/>
        <color indexed="8"/>
        <rFont val="Times New Roman"/>
        <family val="1"/>
      </rPr>
      <t xml:space="preserve">Затраты на работу </t>
    </r>
    <r>
      <rPr>
        <b/>
        <sz val="11"/>
        <color indexed="8"/>
        <rFont val="Times New Roman"/>
        <family val="1"/>
      </rPr>
      <t xml:space="preserve">с Теплыми клиентами (остальные стадии продажи) </t>
    </r>
    <r>
      <rPr>
        <sz val="11"/>
        <color indexed="8"/>
        <rFont val="Times New Roman"/>
        <family val="1"/>
      </rPr>
      <t xml:space="preserve"> на всех сотрудников</t>
    </r>
  </si>
  <si>
    <t>5.2.4.</t>
  </si>
  <si>
    <r>
      <rPr>
        <sz val="11"/>
        <color indexed="8"/>
        <rFont val="Times New Roman"/>
        <family val="1"/>
      </rPr>
      <t>Общие затраты на</t>
    </r>
    <r>
      <rPr>
        <b/>
        <sz val="11"/>
        <color indexed="8"/>
        <rFont val="Times New Roman"/>
        <family val="1"/>
      </rPr>
      <t xml:space="preserve"> ВСЕХ</t>
    </r>
    <r>
      <rPr>
        <sz val="11"/>
        <color indexed="8"/>
        <rFont val="Times New Roman"/>
        <family val="1"/>
      </rPr>
      <t xml:space="preserve"> сотрудников</t>
    </r>
  </si>
  <si>
    <t xml:space="preserve">5.3. </t>
  </si>
  <si>
    <r>
      <rPr>
        <sz val="11"/>
        <color indexed="10"/>
        <rFont val="Times New Roman"/>
        <family val="1"/>
      </rPr>
      <t xml:space="preserve">В итоге,  </t>
    </r>
    <r>
      <rPr>
        <b/>
        <sz val="11"/>
        <color indexed="10"/>
        <rFont val="Times New Roman"/>
        <family val="1"/>
      </rPr>
      <t xml:space="preserve">за год </t>
    </r>
    <r>
      <rPr>
        <sz val="11"/>
        <color indexed="10"/>
        <rFont val="Times New Roman"/>
        <family val="1"/>
      </rPr>
      <t xml:space="preserve">работы  Вы потратите на  этап </t>
    </r>
    <r>
      <rPr>
        <b/>
        <sz val="11"/>
        <color indexed="10"/>
        <rFont val="Times New Roman"/>
        <family val="1"/>
      </rPr>
      <t>УСТАНОВЛЕНИЕ КОНТАКТА</t>
    </r>
  </si>
  <si>
    <t xml:space="preserve">6. </t>
  </si>
  <si>
    <r>
      <rPr>
        <b/>
        <sz val="11"/>
        <rFont val="Times New Roman"/>
        <family val="1"/>
      </rPr>
      <t xml:space="preserve">В итоге,  за год </t>
    </r>
    <r>
      <rPr>
        <sz val="11"/>
        <rFont val="Times New Roman"/>
        <family val="1"/>
      </rPr>
      <t xml:space="preserve">работы  Вы потратите на этап </t>
    </r>
    <r>
      <rPr>
        <b/>
        <sz val="11"/>
        <rFont val="Times New Roman"/>
        <family val="1"/>
      </rPr>
      <t>УСТАНОВЛЕНИЕ КОНТАКТА</t>
    </r>
  </si>
  <si>
    <t>Тариф Мастер</t>
  </si>
  <si>
    <t>и получите следующие результаты:</t>
  </si>
  <si>
    <t>от Ваших отрудников</t>
  </si>
  <si>
    <t>от системы IS</t>
  </si>
  <si>
    <t>ед.изм.</t>
  </si>
  <si>
    <t xml:space="preserve">количество </t>
  </si>
  <si>
    <t xml:space="preserve">Количество </t>
  </si>
  <si>
    <t>6.1.</t>
  </si>
  <si>
    <r>
      <rPr>
        <sz val="11"/>
        <rFont val="Times New Roman"/>
        <family val="1"/>
      </rPr>
      <t xml:space="preserve">Первичных контактов, </t>
    </r>
    <r>
      <rPr>
        <b/>
        <sz val="11"/>
        <rFont val="Times New Roman"/>
        <family val="1"/>
      </rPr>
      <t>в год:</t>
    </r>
  </si>
  <si>
    <t>контакт</t>
  </si>
  <si>
    <t>6.2.</t>
  </si>
  <si>
    <r>
      <rPr>
        <sz val="11"/>
        <rFont val="Times New Roman"/>
        <family val="1"/>
      </rPr>
      <t xml:space="preserve">Респонденты, вступившие в диалог на этапе установления контакта, </t>
    </r>
    <r>
      <rPr>
        <b/>
        <sz val="11"/>
        <rFont val="Times New Roman"/>
        <family val="1"/>
      </rPr>
      <t>в год:</t>
    </r>
  </si>
  <si>
    <t>6.3.</t>
  </si>
  <si>
    <r>
      <rPr>
        <sz val="11"/>
        <rFont val="Times New Roman"/>
        <family val="1"/>
      </rPr>
      <t>Потенциальные клиенты (теплые контакты, доведенные до целевого действия),</t>
    </r>
    <r>
      <rPr>
        <b/>
        <sz val="11"/>
        <rFont val="Times New Roman"/>
        <family val="1"/>
      </rPr>
      <t xml:space="preserve"> в год:</t>
    </r>
  </si>
  <si>
    <t>6.4.</t>
  </si>
  <si>
    <t>Коэффициент результативности (количество первичных контактов к количеству потенциальных клиентов)</t>
  </si>
  <si>
    <t>6.5.</t>
  </si>
  <si>
    <t>Затраты,  за год</t>
  </si>
  <si>
    <t>6.6.</t>
  </si>
  <si>
    <r>
      <rPr>
        <sz val="11"/>
        <color indexed="8"/>
        <rFont val="Times New Roman"/>
        <family val="1"/>
      </rPr>
      <t xml:space="preserve">Количество продаж, </t>
    </r>
    <r>
      <rPr>
        <b/>
        <sz val="11"/>
        <color indexed="8"/>
        <rFont val="Times New Roman"/>
        <family val="1"/>
      </rPr>
      <t>в год</t>
    </r>
  </si>
  <si>
    <t>6.7.</t>
  </si>
  <si>
    <t>Коэффициент результативности ваших сотрудников (количество продаж к количеству потенциальных клиентов)</t>
  </si>
  <si>
    <t>6.8.</t>
  </si>
  <si>
    <t>Стоимость теплого контакта для вас:</t>
  </si>
  <si>
    <t>6.9.</t>
  </si>
  <si>
    <t>Расходы на этап установления контакта для осуществления 1 продажи на данном  этапе</t>
  </si>
  <si>
    <t>часов</t>
  </si>
  <si>
    <t>что составляет, от стоимости товара:</t>
  </si>
  <si>
    <t>В итоге, если вы верно и правдиво указали все ваши показатели в  шагах 2 и 3, то при использовании нашей системы и существующем штате сотрудников вы сможете:</t>
  </si>
  <si>
    <t>7.1.</t>
  </si>
  <si>
    <t>Увеличить ваши продажи ( за счет высвобождения времени на установление контакта) на</t>
  </si>
  <si>
    <t xml:space="preserve">что в год составит </t>
  </si>
  <si>
    <t>продажи</t>
  </si>
  <si>
    <t>7.2.</t>
  </si>
  <si>
    <t>Снизить ваши расходы на этап "Установление контакта", с</t>
  </si>
  <si>
    <t>до</t>
  </si>
  <si>
    <t>что составит  разницу</t>
  </si>
  <si>
    <t>7.3.</t>
  </si>
  <si>
    <t>Ваш дополнительный доход с продаж составит:</t>
  </si>
  <si>
    <t>7.4.</t>
  </si>
  <si>
    <t>При инвестировании в систему, ваша общий доход в год составит:</t>
  </si>
  <si>
    <t>7.5.</t>
  </si>
  <si>
    <t>Ваш ПОТЕНЦИАЛ РОСТА (количество теплых клиентов, получаемых с помощью системы IS*коэффициент результативност ваших сотрудников)</t>
  </si>
  <si>
    <t xml:space="preserve">продаж в год </t>
  </si>
  <si>
    <t>Чтобы их делать,  нужно сотрудников -</t>
  </si>
  <si>
    <t>Примечание: В данном расчёте итоговых показателей, затраты расчитаны только на этап установление контакта, система же позволяет ещё частично перенести и этап консультаци в интерактивный режим, что дополнительно позволить освободить время и увеличить время на другие этапы продажи. Все округления сделаны в пользу ваших сотрудников, округления показателей системы сделаны в меньшую сторону (см. формулы).</t>
  </si>
  <si>
    <t xml:space="preserve">не менее 1 мин. и не более 5 минут </t>
  </si>
  <si>
    <t>Примечание: В таблице указаны средние значения затраченного времени на основе статистических данных. Введите реальные значения для Вашего бизнеса. К примеру, если у Вас внедрен автодозвон до Ваших потенциальных клиентов, то значение в п.2.2 вы поставите равное  времени между дозвонами; если автодозвона нет, то это значение будет ровно количеству времени на поднятие трубки, набору номера и ожиданию ответа абонента ~ 1 минута. ПУНКТ 2.4. - вас человек более  5 минут слушать не будет, если вы разговариваете дольше то это уже вы перешли в п.2.6., данный пункт именно добиться целевого действия, договорится о времени презентации удаленной\очной, выслать расшренное предложение, зайти на сайт, скачать приложение и т.д..</t>
  </si>
  <si>
    <t>Сколько минут рабочего времени затрачено на данный этап продаж</t>
  </si>
  <si>
    <t>Какую  часть от стоимости продукта вы закладываете в премиальную (бонусную) часть  оплаты труда?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</si>
</sst>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#,##0.00&quot;р.&quot;"/>
    <numFmt numFmtId="166" formatCode="0.0000%"/>
    <numFmt numFmtId="167" formatCode="#,##0.00&quot; ₽&quot;"/>
    <numFmt numFmtId="168" formatCode="#,##0.00_ ;\-#,##0.00\ 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9"/>
      <name val="Times New Roman"/>
      <family val="1"/>
    </font>
    <font>
      <b/>
      <sz val="11"/>
      <color indexed="8"/>
      <name val="Wingdings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23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0" tint="-0.4999699890613556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" fontId="2" fillId="34" borderId="10" xfId="0" applyNumberFormat="1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9" fontId="2" fillId="0" borderId="10" xfId="0" applyNumberFormat="1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0" fontId="2" fillId="35" borderId="0" xfId="0" applyFont="1" applyFill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164" fontId="2" fillId="0" borderId="15" xfId="55" applyNumberFormat="1" applyFont="1" applyFill="1" applyBorder="1" applyAlignment="1" applyProtection="1">
      <alignment wrapText="1"/>
      <protection locked="0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64" fontId="2" fillId="0" borderId="17" xfId="55" applyNumberFormat="1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49" fontId="3" fillId="38" borderId="12" xfId="0" applyNumberFormat="1" applyFont="1" applyFill="1" applyBorder="1" applyAlignment="1">
      <alignment horizontal="left" wrapText="1"/>
    </xf>
    <xf numFmtId="0" fontId="3" fillId="38" borderId="21" xfId="0" applyFont="1" applyFill="1" applyBorder="1" applyAlignment="1">
      <alignment wrapText="1"/>
    </xf>
    <xf numFmtId="0" fontId="2" fillId="38" borderId="21" xfId="0" applyFont="1" applyFill="1" applyBorder="1" applyAlignment="1">
      <alignment wrapText="1"/>
    </xf>
    <xf numFmtId="0" fontId="2" fillId="38" borderId="14" xfId="0" applyFont="1" applyFill="1" applyBorder="1" applyAlignment="1">
      <alignment horizontal="center" wrapText="1"/>
    </xf>
    <xf numFmtId="0" fontId="2" fillId="38" borderId="15" xfId="0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horizontal="center" wrapText="1"/>
    </xf>
    <xf numFmtId="10" fontId="2" fillId="0" borderId="15" xfId="0" applyNumberFormat="1" applyFont="1" applyBorder="1" applyAlignment="1">
      <alignment horizontal="center" wrapText="1"/>
    </xf>
    <xf numFmtId="10" fontId="2" fillId="35" borderId="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left" wrapText="1"/>
    </xf>
    <xf numFmtId="0" fontId="2" fillId="0" borderId="22" xfId="0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16" xfId="0" applyNumberFormat="1" applyFont="1" applyBorder="1" applyAlignment="1">
      <alignment horizontal="center" wrapText="1"/>
    </xf>
    <xf numFmtId="10" fontId="2" fillId="0" borderId="17" xfId="0" applyNumberFormat="1" applyFont="1" applyBorder="1" applyAlignment="1">
      <alignment horizontal="center" wrapText="1"/>
    </xf>
    <xf numFmtId="10" fontId="10" fillId="35" borderId="0" xfId="0" applyNumberFormat="1" applyFont="1" applyFill="1" applyBorder="1" applyAlignment="1">
      <alignment horizontal="center" wrapText="1"/>
    </xf>
    <xf numFmtId="49" fontId="2" fillId="0" borderId="23" xfId="0" applyNumberFormat="1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4" fontId="2" fillId="0" borderId="24" xfId="0" applyNumberFormat="1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4" fontId="2" fillId="0" borderId="26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10" fillId="35" borderId="0" xfId="0" applyNumberFormat="1" applyFont="1" applyFill="1" applyBorder="1" applyAlignment="1">
      <alignment horizontal="center" wrapText="1"/>
    </xf>
    <xf numFmtId="0" fontId="2" fillId="38" borderId="12" xfId="0" applyFont="1" applyFill="1" applyBorder="1" applyAlignment="1">
      <alignment horizontal="center" wrapText="1"/>
    </xf>
    <xf numFmtId="0" fontId="2" fillId="38" borderId="13" xfId="0" applyFont="1" applyFill="1" applyBorder="1" applyAlignment="1">
      <alignment horizontal="center" wrapText="1"/>
    </xf>
    <xf numFmtId="0" fontId="10" fillId="35" borderId="0" xfId="0" applyFont="1" applyFill="1" applyBorder="1" applyAlignment="1">
      <alignment horizontal="center" wrapText="1"/>
    </xf>
    <xf numFmtId="49" fontId="2" fillId="0" borderId="27" xfId="0" applyNumberFormat="1" applyFont="1" applyBorder="1" applyAlignment="1">
      <alignment horizontal="left" wrapText="1"/>
    </xf>
    <xf numFmtId="0" fontId="2" fillId="0" borderId="28" xfId="0" applyFont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35" borderId="0" xfId="0" applyFont="1" applyFill="1" applyBorder="1" applyAlignment="1">
      <alignment wrapText="1"/>
    </xf>
    <xf numFmtId="0" fontId="3" fillId="33" borderId="18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0" fontId="2" fillId="0" borderId="21" xfId="0" applyFont="1" applyBorder="1" applyAlignment="1">
      <alignment wrapText="1"/>
    </xf>
    <xf numFmtId="4" fontId="2" fillId="0" borderId="21" xfId="0" applyNumberFormat="1" applyFont="1" applyBorder="1" applyAlignment="1">
      <alignment wrapText="1"/>
    </xf>
    <xf numFmtId="4" fontId="2" fillId="0" borderId="21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35" borderId="0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6" fillId="35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2" fillId="0" borderId="16" xfId="0" applyFont="1" applyBorder="1" applyAlignment="1">
      <alignment horizontal="right" wrapText="1"/>
    </xf>
    <xf numFmtId="4" fontId="2" fillId="0" borderId="22" xfId="0" applyNumberFormat="1" applyFont="1" applyBorder="1" applyAlignment="1">
      <alignment wrapText="1"/>
    </xf>
    <xf numFmtId="4" fontId="2" fillId="0" borderId="22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4" fontId="9" fillId="35" borderId="0" xfId="0" applyNumberFormat="1" applyFont="1" applyFill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0" fontId="2" fillId="0" borderId="32" xfId="0" applyFont="1" applyBorder="1" applyAlignment="1">
      <alignment wrapText="1"/>
    </xf>
    <xf numFmtId="0" fontId="6" fillId="0" borderId="33" xfId="0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9" fillId="0" borderId="0" xfId="0" applyNumberFormat="1" applyFont="1" applyFill="1" applyBorder="1" applyAlignment="1">
      <alignment horizontal="center" wrapText="1"/>
    </xf>
    <xf numFmtId="0" fontId="3" fillId="35" borderId="34" xfId="0" applyFont="1" applyFill="1" applyBorder="1" applyAlignment="1">
      <alignment horizontal="right" wrapText="1"/>
    </xf>
    <xf numFmtId="0" fontId="7" fillId="35" borderId="35" xfId="0" applyFont="1" applyFill="1" applyBorder="1" applyAlignment="1">
      <alignment wrapText="1"/>
    </xf>
    <xf numFmtId="0" fontId="7" fillId="35" borderId="0" xfId="0" applyFont="1" applyFill="1" applyAlignment="1">
      <alignment wrapText="1"/>
    </xf>
    <xf numFmtId="0" fontId="11" fillId="35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7" fillId="39" borderId="0" xfId="0" applyFont="1" applyFill="1" applyAlignment="1">
      <alignment wrapText="1"/>
    </xf>
    <xf numFmtId="0" fontId="2" fillId="39" borderId="0" xfId="0" applyFont="1" applyFill="1" applyAlignment="1">
      <alignment wrapText="1"/>
    </xf>
    <xf numFmtId="0" fontId="2" fillId="39" borderId="0" xfId="0" applyFont="1" applyFill="1" applyAlignment="1">
      <alignment horizontal="left" wrapText="1"/>
    </xf>
    <xf numFmtId="0" fontId="9" fillId="39" borderId="0" xfId="0" applyFont="1" applyFill="1" applyAlignment="1">
      <alignment wrapText="1"/>
    </xf>
    <xf numFmtId="0" fontId="6" fillId="39" borderId="10" xfId="0" applyFont="1" applyFill="1" applyBorder="1" applyAlignment="1">
      <alignment wrapText="1"/>
    </xf>
    <xf numFmtId="4" fontId="11" fillId="35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4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3" fontId="6" fillId="35" borderId="10" xfId="0" applyNumberFormat="1" applyFont="1" applyFill="1" applyBorder="1" applyAlignment="1">
      <alignment wrapText="1"/>
    </xf>
    <xf numFmtId="4" fontId="6" fillId="35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" fontId="2" fillId="35" borderId="0" xfId="0" applyNumberFormat="1" applyFont="1" applyFill="1" applyBorder="1" applyAlignment="1">
      <alignment wrapText="1"/>
    </xf>
    <xf numFmtId="3" fontId="9" fillId="38" borderId="10" xfId="0" applyNumberFormat="1" applyFont="1" applyFill="1" applyBorder="1" applyAlignment="1">
      <alignment horizontal="center" wrapText="1"/>
    </xf>
    <xf numFmtId="9" fontId="6" fillId="35" borderId="0" xfId="55" applyFont="1" applyFill="1" applyBorder="1" applyAlignment="1" applyProtection="1">
      <alignment horizontal="center" wrapText="1"/>
      <protection/>
    </xf>
    <xf numFmtId="9" fontId="7" fillId="35" borderId="0" xfId="55" applyFont="1" applyFill="1" applyBorder="1" applyAlignment="1" applyProtection="1">
      <alignment wrapText="1"/>
      <protection/>
    </xf>
    <xf numFmtId="9" fontId="6" fillId="35" borderId="0" xfId="55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right"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3" fillId="35" borderId="0" xfId="0" applyNumberFormat="1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wrapText="1"/>
    </xf>
    <xf numFmtId="3" fontId="15" fillId="35" borderId="10" xfId="0" applyNumberFormat="1" applyFont="1" applyFill="1" applyBorder="1" applyAlignment="1">
      <alignment horizontal="center" wrapText="1"/>
    </xf>
    <xf numFmtId="4" fontId="16" fillId="0" borderId="1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horizontal="center" wrapText="1"/>
    </xf>
    <xf numFmtId="4" fontId="7" fillId="35" borderId="0" xfId="0" applyNumberFormat="1" applyFont="1" applyFill="1" applyBorder="1" applyAlignment="1">
      <alignment horizontal="center" wrapText="1"/>
    </xf>
    <xf numFmtId="4" fontId="7" fillId="35" borderId="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2" fontId="2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wrapText="1"/>
    </xf>
    <xf numFmtId="167" fontId="2" fillId="0" borderId="28" xfId="0" applyNumberFormat="1" applyFont="1" applyBorder="1" applyAlignment="1">
      <alignment wrapText="1"/>
    </xf>
    <xf numFmtId="10" fontId="7" fillId="35" borderId="0" xfId="0" applyNumberFormat="1" applyFont="1" applyFill="1" applyBorder="1" applyAlignment="1">
      <alignment horizontal="left" wrapText="1"/>
    </xf>
    <xf numFmtId="0" fontId="3" fillId="39" borderId="34" xfId="0" applyFont="1" applyFill="1" applyBorder="1" applyAlignment="1">
      <alignment wrapText="1"/>
    </xf>
    <xf numFmtId="0" fontId="3" fillId="0" borderId="0" xfId="0" applyFont="1" applyBorder="1" applyAlignment="1">
      <alignment horizontal="right" wrapText="1"/>
    </xf>
    <xf numFmtId="10" fontId="11" fillId="38" borderId="3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3" fontId="11" fillId="38" borderId="3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5" fontId="11" fillId="38" borderId="34" xfId="0" applyNumberFormat="1" applyFont="1" applyFill="1" applyBorder="1" applyAlignment="1">
      <alignment horizontal="center" vertical="center" wrapText="1"/>
    </xf>
    <xf numFmtId="165" fontId="11" fillId="35" borderId="34" xfId="0" applyNumberFormat="1" applyFont="1" applyFill="1" applyBorder="1" applyAlignment="1">
      <alignment horizontal="center" vertical="center" wrapText="1"/>
    </xf>
    <xf numFmtId="165" fontId="11" fillId="35" borderId="0" xfId="0" applyNumberFormat="1" applyFont="1" applyFill="1" applyBorder="1" applyAlignment="1">
      <alignment horizontal="center" vertical="center" wrapText="1"/>
    </xf>
    <xf numFmtId="168" fontId="16" fillId="0" borderId="34" xfId="0" applyNumberFormat="1" applyFont="1" applyBorder="1" applyAlignment="1">
      <alignment horizontal="center" wrapText="1"/>
    </xf>
    <xf numFmtId="0" fontId="11" fillId="36" borderId="3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8" fillId="0" borderId="37" xfId="0" applyFont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165" fontId="11" fillId="35" borderId="34" xfId="0" applyNumberFormat="1" applyFont="1" applyFill="1" applyBorder="1" applyAlignment="1">
      <alignment horizontal="center" wrapText="1"/>
    </xf>
    <xf numFmtId="165" fontId="11" fillId="39" borderId="25" xfId="0" applyNumberFormat="1" applyFont="1" applyFill="1" applyBorder="1" applyAlignment="1">
      <alignment horizontal="center" wrapText="1"/>
    </xf>
    <xf numFmtId="0" fontId="11" fillId="35" borderId="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wrapText="1"/>
    </xf>
    <xf numFmtId="10" fontId="3" fillId="0" borderId="10" xfId="55" applyNumberFormat="1" applyFont="1" applyFill="1" applyBorder="1" applyAlignment="1" applyProtection="1">
      <alignment horizontal="center" wrapText="1"/>
      <protection/>
    </xf>
    <xf numFmtId="166" fontId="3" fillId="0" borderId="10" xfId="55" applyNumberFormat="1" applyFont="1" applyFill="1" applyBorder="1" applyAlignment="1" applyProtection="1">
      <alignment horizontal="center" wrapText="1"/>
      <protection/>
    </xf>
    <xf numFmtId="0" fontId="2" fillId="0" borderId="28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39" borderId="34" xfId="0" applyFont="1" applyFill="1" applyBorder="1" applyAlignment="1">
      <alignment horizontal="center" wrapText="1"/>
    </xf>
    <xf numFmtId="3" fontId="2" fillId="40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40" borderId="10" xfId="55" applyNumberFormat="1" applyFont="1" applyFill="1" applyBorder="1" applyAlignment="1" applyProtection="1">
      <alignment horizontal="center" vertical="center" wrapText="1"/>
      <protection/>
    </xf>
    <xf numFmtId="4" fontId="2" fillId="40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41" borderId="10" xfId="55" applyFont="1" applyFill="1" applyBorder="1" applyAlignment="1" applyProtection="1">
      <alignment horizontal="center" vertical="center" wrapText="1"/>
      <protection locked="0"/>
    </xf>
    <xf numFmtId="0" fontId="2" fillId="40" borderId="10" xfId="0" applyFont="1" applyFill="1" applyBorder="1" applyAlignment="1" applyProtection="1">
      <alignment horizontal="center" vertical="center" wrapText="1"/>
      <protection locked="0"/>
    </xf>
    <xf numFmtId="4" fontId="54" fillId="41" borderId="10" xfId="0" applyNumberFormat="1" applyFont="1" applyFill="1" applyBorder="1" applyAlignment="1" applyProtection="1">
      <alignment horizontal="center" vertical="center" wrapText="1"/>
      <protection/>
    </xf>
    <xf numFmtId="0" fontId="11" fillId="39" borderId="38" xfId="0" applyFont="1" applyFill="1" applyBorder="1" applyAlignment="1" applyProtection="1">
      <alignment wrapText="1"/>
      <protection hidden="1"/>
    </xf>
    <xf numFmtId="3" fontId="2" fillId="0" borderId="10" xfId="0" applyNumberFormat="1" applyFont="1" applyBorder="1" applyAlignment="1" applyProtection="1">
      <alignment horizont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времени</a:t>
            </a:r>
          </a:p>
        </c:rich>
      </c:tx>
      <c:layout>
        <c:manualLayout>
          <c:xMode val="factor"/>
          <c:yMode val="factor"/>
          <c:x val="-0.008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1925"/>
          <c:w val="0.379"/>
          <c:h val="0.7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'Шаг4. Расчёт временных затрат'!$H$8:$H$10</c:f>
              <c:strCache/>
            </c:strRef>
          </c:cat>
          <c:val>
            <c:numRef>
              <c:f>'Шаг4. Расчёт временных затрат'!$G$3:$G$5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"/>
          <c:y val="0.49825"/>
          <c:w val="0.18675"/>
          <c:h val="0.1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"/>
          <c:y val="0"/>
          <c:w val="0.4705"/>
          <c:h val="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'Шаг5. Расчёт финансовых зат'!$H$3:$H$5</c:f>
              <c:strCache/>
            </c:strRef>
          </c:cat>
          <c:val>
            <c:numRef>
              <c:f>'Шаг5. Расчёт финансовых зат'!$G$3:$G$5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25"/>
          <c:y val="0.39825"/>
          <c:w val="0.227"/>
          <c:h val="0.1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10</xdr:row>
      <xdr:rowOff>123825</xdr:rowOff>
    </xdr:from>
    <xdr:to>
      <xdr:col>5</xdr:col>
      <xdr:colOff>1200150</xdr:colOff>
      <xdr:row>36</xdr:row>
      <xdr:rowOff>57150</xdr:rowOff>
    </xdr:to>
    <xdr:graphicFrame>
      <xdr:nvGraphicFramePr>
        <xdr:cNvPr id="1" name="Диаграмма 1"/>
        <xdr:cNvGraphicFramePr/>
      </xdr:nvGraphicFramePr>
      <xdr:xfrm>
        <a:off x="885825" y="3019425"/>
        <a:ext cx="89535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14</xdr:row>
      <xdr:rowOff>123825</xdr:rowOff>
    </xdr:from>
    <xdr:to>
      <xdr:col>5</xdr:col>
      <xdr:colOff>1390650</xdr:colOff>
      <xdr:row>35</xdr:row>
      <xdr:rowOff>57150</xdr:rowOff>
    </xdr:to>
    <xdr:graphicFrame>
      <xdr:nvGraphicFramePr>
        <xdr:cNvPr id="1" name="Диаграмма 2"/>
        <xdr:cNvGraphicFramePr/>
      </xdr:nvGraphicFramePr>
      <xdr:xfrm>
        <a:off x="1619250" y="3533775"/>
        <a:ext cx="7372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5.7109375" style="1" customWidth="1"/>
    <col min="2" max="2" width="52.7109375" style="2" customWidth="1"/>
    <col min="3" max="3" width="9.7109375" style="2" customWidth="1"/>
    <col min="4" max="4" width="11.28125" style="2" customWidth="1"/>
    <col min="5" max="5" width="37.7109375" style="2" customWidth="1"/>
    <col min="6" max="6" width="39.8515625" style="3" hidden="1" customWidth="1"/>
    <col min="7" max="16384" width="9.140625" style="3" customWidth="1"/>
  </cols>
  <sheetData>
    <row r="1" spans="1:6" ht="13.5">
      <c r="A1" s="4">
        <v>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 ht="13.5">
      <c r="A2" s="6" t="s">
        <v>5</v>
      </c>
      <c r="B2" s="7" t="s">
        <v>6</v>
      </c>
      <c r="C2" s="7" t="s">
        <v>7</v>
      </c>
      <c r="D2" s="8">
        <v>21</v>
      </c>
      <c r="E2" s="7" t="s">
        <v>8</v>
      </c>
      <c r="F2" s="7" t="s">
        <v>9</v>
      </c>
    </row>
    <row r="3" spans="1:6" ht="27">
      <c r="A3" s="6" t="s">
        <v>10</v>
      </c>
      <c r="B3" s="7" t="s">
        <v>11</v>
      </c>
      <c r="C3" s="7" t="s">
        <v>7</v>
      </c>
      <c r="D3" s="9">
        <v>30</v>
      </c>
      <c r="E3" s="7" t="s">
        <v>12</v>
      </c>
      <c r="F3" s="7" t="s">
        <v>13</v>
      </c>
    </row>
    <row r="4" spans="1:6" ht="13.5">
      <c r="A4" s="6" t="s">
        <v>14</v>
      </c>
      <c r="B4" s="7" t="s">
        <v>15</v>
      </c>
      <c r="C4" s="7" t="s">
        <v>16</v>
      </c>
      <c r="D4" s="9">
        <v>8</v>
      </c>
      <c r="E4" s="7" t="s">
        <v>8</v>
      </c>
      <c r="F4" s="7" t="s">
        <v>9</v>
      </c>
    </row>
    <row r="5" spans="1:6" ht="13.5">
      <c r="A5" s="6" t="s">
        <v>17</v>
      </c>
      <c r="B5" s="7" t="s">
        <v>18</v>
      </c>
      <c r="C5" s="7" t="s">
        <v>7</v>
      </c>
      <c r="D5" s="9">
        <v>247</v>
      </c>
      <c r="E5" s="7" t="s">
        <v>8</v>
      </c>
      <c r="F5" s="7" t="s">
        <v>9</v>
      </c>
    </row>
    <row r="6" spans="1:6" ht="13.5">
      <c r="A6" s="6" t="s">
        <v>19</v>
      </c>
      <c r="B6" s="7" t="s">
        <v>20</v>
      </c>
      <c r="C6" s="7" t="s">
        <v>7</v>
      </c>
      <c r="D6" s="9">
        <v>365</v>
      </c>
      <c r="E6" s="7" t="s">
        <v>21</v>
      </c>
      <c r="F6" s="7"/>
    </row>
    <row r="7" spans="1:6" ht="13.5">
      <c r="A7" s="6" t="s">
        <v>22</v>
      </c>
      <c r="B7" s="7" t="s">
        <v>23</v>
      </c>
      <c r="C7" s="7" t="s">
        <v>7</v>
      </c>
      <c r="D7" s="9">
        <v>20</v>
      </c>
      <c r="E7" s="7" t="s">
        <v>24</v>
      </c>
      <c r="F7" s="7" t="s">
        <v>25</v>
      </c>
    </row>
    <row r="8" spans="1:6" ht="27">
      <c r="A8" s="6" t="s">
        <v>26</v>
      </c>
      <c r="B8" s="7" t="s">
        <v>27</v>
      </c>
      <c r="C8" s="7" t="s">
        <v>7</v>
      </c>
      <c r="D8" s="9">
        <v>10</v>
      </c>
      <c r="E8" s="7" t="s">
        <v>24</v>
      </c>
      <c r="F8" s="7" t="s">
        <v>25</v>
      </c>
    </row>
    <row r="10" spans="2:5" ht="30.75" customHeight="1">
      <c r="B10" s="191" t="s">
        <v>28</v>
      </c>
      <c r="C10" s="191"/>
      <c r="D10" s="191"/>
      <c r="E10" s="191"/>
    </row>
  </sheetData>
  <sheetProtection password="E491" sheet="1" objects="1" scenarios="1" selectLockedCells="1"/>
  <mergeCells count="1">
    <mergeCell ref="B10:E10"/>
  </mergeCells>
  <dataValidations count="6">
    <dataValidation type="whole" allowBlank="1" showErrorMessage="1" sqref="D2">
      <formula1>1</formula1>
      <formula2>31</formula2>
    </dataValidation>
    <dataValidation type="whole" allowBlank="1" showErrorMessage="1" sqref="D3">
      <formula1>28</formula1>
      <formula2>31</formula2>
    </dataValidation>
    <dataValidation type="whole" allowBlank="1" showErrorMessage="1" sqref="D4">
      <formula1>1</formula1>
      <formula2>16</formula2>
    </dataValidation>
    <dataValidation type="whole" allowBlank="1" showErrorMessage="1" sqref="D5">
      <formula1>1</formula1>
      <formula2>366</formula2>
    </dataValidation>
    <dataValidation type="whole" allowBlank="1" showErrorMessage="1" sqref="D6">
      <formula1>365</formula1>
      <formula2>366</formula2>
    </dataValidation>
    <dataValidation type="whole" allowBlank="1" showErrorMessage="1" sqref="D7:D8">
      <formula1>0</formula1>
      <formula2>182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7109375" style="10" customWidth="1"/>
    <col min="2" max="2" width="80.7109375" style="2" customWidth="1"/>
    <col min="3" max="3" width="9.7109375" style="11" customWidth="1"/>
    <col min="4" max="4" width="12.140625" style="11" customWidth="1"/>
    <col min="5" max="5" width="37.7109375" style="2" customWidth="1"/>
    <col min="6" max="6" width="35.00390625" style="2" hidden="1" customWidth="1"/>
    <col min="7" max="7" width="9.140625" style="2" hidden="1" customWidth="1"/>
    <col min="8" max="8" width="33.7109375" style="2" hidden="1" customWidth="1"/>
    <col min="9" max="9" width="22.28125" style="2" hidden="1" customWidth="1"/>
    <col min="10" max="16384" width="9.140625" style="2" customWidth="1"/>
  </cols>
  <sheetData>
    <row r="1" spans="1:9" ht="20.25" customHeight="1">
      <c r="A1" s="12">
        <v>2</v>
      </c>
      <c r="B1" s="13" t="s">
        <v>29</v>
      </c>
      <c r="C1" s="12" t="s">
        <v>1</v>
      </c>
      <c r="D1" s="12" t="s">
        <v>2</v>
      </c>
      <c r="E1" s="13" t="s">
        <v>3</v>
      </c>
      <c r="F1" s="5" t="s">
        <v>30</v>
      </c>
      <c r="G1" s="14"/>
      <c r="H1" s="5" t="s">
        <v>4</v>
      </c>
      <c r="I1" s="13" t="s">
        <v>31</v>
      </c>
    </row>
    <row r="2" spans="1:9" ht="48" customHeight="1">
      <c r="A2" s="15" t="s">
        <v>32</v>
      </c>
      <c r="B2" s="16" t="s">
        <v>33</v>
      </c>
      <c r="C2" s="17" t="s">
        <v>34</v>
      </c>
      <c r="D2" s="18">
        <v>3</v>
      </c>
      <c r="E2" s="16" t="s">
        <v>35</v>
      </c>
      <c r="F2" s="17" t="s">
        <v>36</v>
      </c>
      <c r="G2" s="11"/>
      <c r="H2" s="19" t="s">
        <v>37</v>
      </c>
      <c r="I2" s="17"/>
    </row>
    <row r="3" spans="1:9" ht="29.25" customHeight="1">
      <c r="A3" s="15" t="s">
        <v>38</v>
      </c>
      <c r="B3" s="16" t="s">
        <v>39</v>
      </c>
      <c r="C3" s="17" t="s">
        <v>34</v>
      </c>
      <c r="D3" s="18">
        <v>1</v>
      </c>
      <c r="E3" s="16" t="s">
        <v>40</v>
      </c>
      <c r="F3" s="17"/>
      <c r="G3" s="11"/>
      <c r="H3" s="19" t="s">
        <v>41</v>
      </c>
      <c r="I3" s="17"/>
    </row>
    <row r="4" spans="1:9" s="28" customFormat="1" ht="32.25" customHeight="1">
      <c r="A4" s="20" t="s">
        <v>42</v>
      </c>
      <c r="B4" s="21" t="s">
        <v>43</v>
      </c>
      <c r="C4" s="22" t="s">
        <v>44</v>
      </c>
      <c r="D4" s="23">
        <v>60</v>
      </c>
      <c r="E4" s="21" t="s">
        <v>45</v>
      </c>
      <c r="F4" s="24"/>
      <c r="G4" s="25"/>
      <c r="H4" s="26" t="s">
        <v>46</v>
      </c>
      <c r="I4" s="27"/>
    </row>
    <row r="5" spans="1:9" s="28" customFormat="1" ht="25.5" customHeight="1">
      <c r="A5" s="20" t="s">
        <v>47</v>
      </c>
      <c r="B5" s="21" t="s">
        <v>48</v>
      </c>
      <c r="C5" s="22" t="s">
        <v>34</v>
      </c>
      <c r="D5" s="23">
        <v>3.5</v>
      </c>
      <c r="E5" s="21" t="s">
        <v>203</v>
      </c>
      <c r="F5" s="22" t="s">
        <v>49</v>
      </c>
      <c r="G5" s="25"/>
      <c r="H5" s="26" t="s">
        <v>50</v>
      </c>
      <c r="I5" s="27"/>
    </row>
    <row r="6" spans="1:9" ht="39" customHeight="1">
      <c r="A6" s="29" t="s">
        <v>51</v>
      </c>
      <c r="B6" s="16" t="s">
        <v>52</v>
      </c>
      <c r="C6" s="17" t="s">
        <v>53</v>
      </c>
      <c r="D6" s="18">
        <v>20</v>
      </c>
      <c r="E6" s="30" t="s">
        <v>54</v>
      </c>
      <c r="F6" s="17" t="s">
        <v>55</v>
      </c>
      <c r="G6" s="11"/>
      <c r="H6" s="19" t="s">
        <v>56</v>
      </c>
      <c r="I6" s="31">
        <f>(D2+D3)*D4+D5*D6</f>
        <v>310</v>
      </c>
    </row>
    <row r="7" spans="1:9" ht="45" customHeight="1">
      <c r="A7" s="15" t="s">
        <v>57</v>
      </c>
      <c r="B7" s="16" t="s">
        <v>58</v>
      </c>
      <c r="C7" s="17" t="s">
        <v>34</v>
      </c>
      <c r="D7" s="18">
        <v>14</v>
      </c>
      <c r="E7" s="16" t="s">
        <v>59</v>
      </c>
      <c r="F7" s="32" t="s">
        <v>60</v>
      </c>
      <c r="G7" s="11"/>
      <c r="H7" s="33" t="s">
        <v>61</v>
      </c>
      <c r="I7" s="17"/>
    </row>
    <row r="8" spans="1:9" ht="37.5" customHeight="1">
      <c r="A8" s="15" t="s">
        <v>62</v>
      </c>
      <c r="B8" s="16" t="s">
        <v>63</v>
      </c>
      <c r="C8" s="17" t="s">
        <v>53</v>
      </c>
      <c r="D8" s="18">
        <v>5</v>
      </c>
      <c r="E8" s="30" t="s">
        <v>64</v>
      </c>
      <c r="F8" s="32" t="s">
        <v>65</v>
      </c>
      <c r="G8" s="11"/>
      <c r="H8" s="19" t="s">
        <v>66</v>
      </c>
      <c r="I8" s="31">
        <f>(D2+D3)*D4+D5*D6+D7*D8</f>
        <v>380</v>
      </c>
    </row>
    <row r="9" spans="1:9" ht="44.25" customHeight="1">
      <c r="A9" s="34"/>
      <c r="B9" s="35" t="s">
        <v>205</v>
      </c>
      <c r="C9" s="36" t="s">
        <v>34</v>
      </c>
      <c r="D9" s="37">
        <f>(D2+D3)*D4+D5*D6+D7*D8</f>
        <v>380</v>
      </c>
      <c r="E9" s="38" t="s">
        <v>67</v>
      </c>
      <c r="F9" s="11"/>
      <c r="G9" s="11"/>
      <c r="H9" s="11"/>
      <c r="I9" s="36">
        <f>D4*D2+D4*D3+D5*D6+D7*D8</f>
        <v>380</v>
      </c>
    </row>
    <row r="10" spans="2:5" ht="15.75" customHeight="1">
      <c r="B10" s="192" t="str">
        <f>IF(D9&gt;'Шаг1. Распорядок рабочего дня'!D4*60,"ВНИМАНИЕ! У вас сотрудник не может выполнить такой объем работ в течение одного дня уточните вводимые значения!",IF(I6&gt;'Шаг1. Распорядок рабочего дня'!D4*60,"ВНИМАНИЕ! У вас сотрудник не может выполнить такой объем работ в течение одного дня уточните вводимые значения!",IF(I8&gt;'Шаг1. Распорядок рабочего дня'!D4*60,"ВНИМАНИЕ! У вас сотрудник не может выполнить такой объем работ в течение одного дня уточните вводимые значения!","_")))</f>
        <v>_</v>
      </c>
      <c r="C10" s="192"/>
      <c r="D10" s="192"/>
      <c r="E10" s="192"/>
    </row>
    <row r="11" spans="2:5" ht="90" customHeight="1">
      <c r="B11" s="191" t="s">
        <v>204</v>
      </c>
      <c r="C11" s="191"/>
      <c r="D11" s="191"/>
      <c r="E11" s="191"/>
    </row>
  </sheetData>
  <sheetProtection password="E491" sheet="1" objects="1" scenarios="1"/>
  <mergeCells count="2">
    <mergeCell ref="B10:E10"/>
    <mergeCell ref="B11:E11"/>
  </mergeCells>
  <dataValidations count="7">
    <dataValidation type="decimal" operator="greaterThanOrEqual" allowBlank="1" showErrorMessage="1" sqref="D2">
      <formula1>1</formula1>
    </dataValidation>
    <dataValidation type="decimal" operator="greaterThanOrEqual" allowBlank="1" showErrorMessage="1" sqref="D3">
      <formula1>0.5</formula1>
    </dataValidation>
    <dataValidation type="whole" operator="greaterThanOrEqual" allowBlank="1" showErrorMessage="1" sqref="D4">
      <formula1>1</formula1>
    </dataValidation>
    <dataValidation type="whole" operator="lessThanOrEqual" allowBlank="1" showErrorMessage="1" sqref="D8">
      <formula1>D6</formula1>
    </dataValidation>
    <dataValidation type="decimal" operator="greaterThanOrEqual" allowBlank="1" showErrorMessage="1" sqref="D7">
      <formula1>D5</formula1>
    </dataValidation>
    <dataValidation type="whole" operator="lessThanOrEqual" showErrorMessage="1" sqref="D6">
      <formula1>D4</formula1>
    </dataValidation>
    <dataValidation type="decimal" allowBlank="1" showErrorMessage="1" sqref="D5">
      <formula1>1</formula1>
      <formula2>5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7109375" style="10" customWidth="1"/>
    <col min="2" max="2" width="80.7109375" style="2" customWidth="1"/>
    <col min="3" max="3" width="9.7109375" style="11" customWidth="1"/>
    <col min="4" max="4" width="11.8515625" style="11" customWidth="1"/>
    <col min="5" max="5" width="37.7109375" style="2" customWidth="1"/>
    <col min="6" max="6" width="17.57421875" style="2" hidden="1" customWidth="1"/>
    <col min="7" max="7" width="21.28125" style="2" hidden="1" customWidth="1"/>
    <col min="8" max="16384" width="9.140625" style="2" customWidth="1"/>
  </cols>
  <sheetData>
    <row r="1" spans="1:7" ht="42.75" customHeight="1">
      <c r="A1" s="12">
        <v>3</v>
      </c>
      <c r="B1" s="13" t="s">
        <v>68</v>
      </c>
      <c r="C1" s="13" t="s">
        <v>1</v>
      </c>
      <c r="D1" s="13" t="s">
        <v>2</v>
      </c>
      <c r="E1" s="13" t="s">
        <v>3</v>
      </c>
      <c r="F1" s="13" t="s">
        <v>69</v>
      </c>
      <c r="G1" s="13" t="s">
        <v>4</v>
      </c>
    </row>
    <row r="2" spans="1:7" ht="27">
      <c r="A2" s="15" t="s">
        <v>70</v>
      </c>
      <c r="B2" s="39" t="s">
        <v>71</v>
      </c>
      <c r="C2" s="17" t="s">
        <v>72</v>
      </c>
      <c r="D2" s="204">
        <v>2</v>
      </c>
      <c r="E2" s="39" t="s">
        <v>73</v>
      </c>
      <c r="F2" s="7"/>
      <c r="G2" s="7" t="s">
        <v>9</v>
      </c>
    </row>
    <row r="3" spans="1:7" ht="54.75">
      <c r="A3" s="15" t="s">
        <v>74</v>
      </c>
      <c r="B3" s="39" t="s">
        <v>75</v>
      </c>
      <c r="C3" s="17" t="s">
        <v>76</v>
      </c>
      <c r="D3" s="204">
        <v>20000</v>
      </c>
      <c r="E3" s="40" t="s">
        <v>77</v>
      </c>
      <c r="F3" s="41"/>
      <c r="G3" s="41" t="s">
        <v>78</v>
      </c>
    </row>
    <row r="4" spans="1:6" ht="48.75" customHeight="1">
      <c r="A4" s="15" t="s">
        <v>79</v>
      </c>
      <c r="B4" s="39" t="s">
        <v>80</v>
      </c>
      <c r="C4" s="42" t="s">
        <v>81</v>
      </c>
      <c r="D4" s="205">
        <f>SUM(C14:C18)</f>
        <v>0.432</v>
      </c>
      <c r="E4" s="43" t="s">
        <v>82</v>
      </c>
      <c r="F4" s="7"/>
    </row>
    <row r="5" spans="1:7" s="48" customFormat="1" ht="41.25">
      <c r="A5" s="44" t="s">
        <v>83</v>
      </c>
      <c r="B5" s="43" t="s">
        <v>84</v>
      </c>
      <c r="C5" s="45" t="s">
        <v>76</v>
      </c>
      <c r="D5" s="209">
        <f>ROUND((D3/(1-C14))+(D3/(1-C14))*SUM(C15:C18),2)</f>
        <v>29931.03</v>
      </c>
      <c r="E5" s="43" t="s">
        <v>85</v>
      </c>
      <c r="F5" s="46"/>
      <c r="G5" s="47"/>
    </row>
    <row r="6" spans="1:7" ht="27">
      <c r="A6" s="15" t="s">
        <v>86</v>
      </c>
      <c r="B6" s="39" t="s">
        <v>87</v>
      </c>
      <c r="C6" s="17" t="s">
        <v>76</v>
      </c>
      <c r="D6" s="206">
        <v>10000</v>
      </c>
      <c r="E6" s="39" t="s">
        <v>88</v>
      </c>
      <c r="F6" s="7"/>
      <c r="G6" s="7" t="s">
        <v>9</v>
      </c>
    </row>
    <row r="7" spans="1:7" s="53" customFormat="1" ht="27">
      <c r="A7" s="49" t="s">
        <v>89</v>
      </c>
      <c r="B7" s="50" t="s">
        <v>206</v>
      </c>
      <c r="C7" s="51" t="s">
        <v>81</v>
      </c>
      <c r="D7" s="207">
        <v>0</v>
      </c>
      <c r="E7" s="50" t="s">
        <v>24</v>
      </c>
      <c r="F7" s="52"/>
      <c r="G7" s="52" t="s">
        <v>90</v>
      </c>
    </row>
    <row r="8" spans="1:7" ht="27">
      <c r="A8" s="15" t="s">
        <v>91</v>
      </c>
      <c r="B8" s="39" t="s">
        <v>92</v>
      </c>
      <c r="C8" s="17" t="s">
        <v>93</v>
      </c>
      <c r="D8" s="208">
        <v>4</v>
      </c>
      <c r="E8" s="39" t="s">
        <v>94</v>
      </c>
      <c r="F8" s="7"/>
      <c r="G8" s="7" t="s">
        <v>95</v>
      </c>
    </row>
    <row r="12" ht="13.5">
      <c r="B12" s="54" t="s">
        <v>96</v>
      </c>
    </row>
    <row r="13" spans="1:4" ht="13.5">
      <c r="A13" s="55"/>
      <c r="B13" s="56" t="s">
        <v>97</v>
      </c>
      <c r="C13" s="57" t="s">
        <v>98</v>
      </c>
      <c r="D13" s="2"/>
    </row>
    <row r="14" spans="1:4" ht="13.5">
      <c r="A14" s="58"/>
      <c r="B14" s="59" t="s">
        <v>99</v>
      </c>
      <c r="C14" s="60">
        <v>0.13</v>
      </c>
      <c r="D14" s="2"/>
    </row>
    <row r="15" spans="1:4" ht="13.5">
      <c r="A15" s="58"/>
      <c r="B15" s="61" t="s">
        <v>100</v>
      </c>
      <c r="C15" s="60">
        <v>0.22</v>
      </c>
      <c r="D15" s="2"/>
    </row>
    <row r="16" spans="1:4" ht="13.5">
      <c r="A16" s="58"/>
      <c r="B16" s="61" t="s">
        <v>101</v>
      </c>
      <c r="C16" s="60">
        <v>0.029</v>
      </c>
      <c r="D16" s="2"/>
    </row>
    <row r="17" spans="1:3" s="2" customFormat="1" ht="13.5">
      <c r="A17" s="58"/>
      <c r="B17" s="61" t="s">
        <v>102</v>
      </c>
      <c r="C17" s="60">
        <v>0.051</v>
      </c>
    </row>
    <row r="18" spans="1:3" s="2" customFormat="1" ht="13.5">
      <c r="A18" s="58"/>
      <c r="B18" s="62" t="s">
        <v>103</v>
      </c>
      <c r="C18" s="63">
        <v>0.002</v>
      </c>
    </row>
  </sheetData>
  <sheetProtection password="E491" sheet="1" objects="1" scenarios="1"/>
  <dataValidations count="4">
    <dataValidation type="decimal" operator="greaterThanOrEqual" allowBlank="1" showErrorMessage="1" sqref="D6 D8">
      <formula1>1</formula1>
    </dataValidation>
    <dataValidation type="whole" operator="greaterThanOrEqual" allowBlank="1" showErrorMessage="1" sqref="D2">
      <formula1>1</formula1>
    </dataValidation>
    <dataValidation type="decimal" operator="greaterThanOrEqual" allowBlank="1" showErrorMessage="1" sqref="D3">
      <formula1>11280</formula1>
    </dataValidation>
    <dataValidation type="decimal" operator="greaterThanOrEqual" allowBlank="1" showErrorMessage="1" sqref="D7">
      <formula1>0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7109375" style="64" customWidth="1"/>
    <col min="2" max="2" width="80.7109375" style="2" customWidth="1"/>
    <col min="3" max="4" width="13.7109375" style="2" customWidth="1"/>
    <col min="5" max="5" width="15.7109375" style="2" customWidth="1"/>
    <col min="6" max="6" width="22.8515625" style="65" customWidth="1"/>
    <col min="7" max="7" width="17.7109375" style="65" customWidth="1"/>
    <col min="8" max="8" width="27.140625" style="66" customWidth="1"/>
    <col min="9" max="16384" width="9.140625" style="2" customWidth="1"/>
  </cols>
  <sheetData>
    <row r="1" spans="1:8" ht="52.5" customHeight="1">
      <c r="A1" s="67">
        <v>4</v>
      </c>
      <c r="B1" s="68" t="s">
        <v>104</v>
      </c>
      <c r="C1" s="68" t="s">
        <v>105</v>
      </c>
      <c r="D1" s="68" t="s">
        <v>106</v>
      </c>
      <c r="E1" s="69" t="s">
        <v>107</v>
      </c>
      <c r="F1" s="70" t="s">
        <v>108</v>
      </c>
      <c r="G1" s="71" t="s">
        <v>109</v>
      </c>
      <c r="H1" s="72"/>
    </row>
    <row r="2" spans="1:7" ht="13.5">
      <c r="A2" s="73" t="s">
        <v>110</v>
      </c>
      <c r="B2" s="74" t="s">
        <v>111</v>
      </c>
      <c r="C2" s="75"/>
      <c r="D2" s="75"/>
      <c r="E2" s="75"/>
      <c r="F2" s="76"/>
      <c r="G2" s="77"/>
    </row>
    <row r="3" spans="1:8" ht="13.5">
      <c r="A3" s="78" t="s">
        <v>112</v>
      </c>
      <c r="B3" s="7" t="s">
        <v>113</v>
      </c>
      <c r="C3" s="7" t="s">
        <v>114</v>
      </c>
      <c r="D3" s="79">
        <f>(('Шаг2.Технологические показатели'!D2+'Шаг2.Технологические показатели'!D3)*'Шаг2.Технологические показатели'!D4+'Шаг2.Технологические показатели'!D5*'Шаг2.Технологические показатели'!D6)</f>
        <v>310</v>
      </c>
      <c r="E3" s="80">
        <f>D3*'Шаг1. Распорядок рабочего дня'!$D$2</f>
        <v>6510</v>
      </c>
      <c r="F3" s="81">
        <f>D3*('Шаг1. Распорядок рабочего дня'!$D$5-'Шаг1. Распорядок рабочего дня'!$D$7-'Шаг1. Распорядок рабочего дня'!$D$8)</f>
        <v>67270</v>
      </c>
      <c r="G3" s="82">
        <f>F3/SUM($F$3:$F$5)</f>
        <v>0.6458333333333334</v>
      </c>
      <c r="H3" s="83"/>
    </row>
    <row r="4" spans="1:8" ht="27">
      <c r="A4" s="78" t="s">
        <v>115</v>
      </c>
      <c r="B4" s="7" t="s">
        <v>116</v>
      </c>
      <c r="C4" s="7" t="s">
        <v>114</v>
      </c>
      <c r="D4" s="79">
        <f>'Шаг2.Технологические показатели'!D7*'Шаг2.Технологические показатели'!D8</f>
        <v>70</v>
      </c>
      <c r="E4" s="80">
        <f>D4*'Шаг1. Распорядок рабочего дня'!$D$2</f>
        <v>1470</v>
      </c>
      <c r="F4" s="81">
        <f>D4*('Шаг1. Распорядок рабочего дня'!$D$5-'Шаг1. Распорядок рабочего дня'!$D$7-'Шаг1. Распорядок рабочего дня'!$D$8)</f>
        <v>15190</v>
      </c>
      <c r="G4" s="82">
        <f>F4/SUM($F$3:$F$5)</f>
        <v>0.14583333333333334</v>
      </c>
      <c r="H4" s="83"/>
    </row>
    <row r="5" spans="1:8" ht="27">
      <c r="A5" s="84" t="s">
        <v>117</v>
      </c>
      <c r="B5" s="85" t="s">
        <v>118</v>
      </c>
      <c r="C5" s="85" t="s">
        <v>114</v>
      </c>
      <c r="D5" s="86">
        <f>'Шаг1. Распорядок рабочего дня'!D4*60-'Шаг4. Расчёт временных затрат'!D3-D4</f>
        <v>100</v>
      </c>
      <c r="E5" s="87">
        <f>D5*'Шаг1. Распорядок рабочего дня'!$D$2</f>
        <v>2100</v>
      </c>
      <c r="F5" s="88">
        <f>D5*('Шаг1. Распорядок рабочего дня'!$D$5-'Шаг1. Распорядок рабочего дня'!$D$7-'Шаг1. Распорядок рабочего дня'!$D$8)</f>
        <v>21700</v>
      </c>
      <c r="G5" s="89">
        <f>F5/SUM($F$3:$F$5)</f>
        <v>0.20833333333333334</v>
      </c>
      <c r="H5" s="90"/>
    </row>
    <row r="6" spans="1:8" ht="13.5">
      <c r="A6" s="91"/>
      <c r="B6" s="92"/>
      <c r="C6" s="92"/>
      <c r="D6" s="93"/>
      <c r="E6" s="94"/>
      <c r="F6" s="95"/>
      <c r="G6" s="96"/>
      <c r="H6" s="97"/>
    </row>
    <row r="7" spans="1:8" ht="13.5">
      <c r="A7" s="73" t="s">
        <v>119</v>
      </c>
      <c r="B7" s="74" t="s">
        <v>120</v>
      </c>
      <c r="C7" s="75"/>
      <c r="D7" s="75"/>
      <c r="E7" s="75"/>
      <c r="F7" s="98"/>
      <c r="G7" s="99"/>
      <c r="H7" s="100"/>
    </row>
    <row r="8" spans="1:8" ht="13.5">
      <c r="A8" s="78" t="s">
        <v>112</v>
      </c>
      <c r="B8" s="7" t="s">
        <v>121</v>
      </c>
      <c r="C8" s="7" t="s">
        <v>114</v>
      </c>
      <c r="D8" s="79">
        <f>D3*'Шаг3. Финансовые показатели '!D2</f>
        <v>620</v>
      </c>
      <c r="E8" s="80">
        <f>D8*'Шаг1. Распорядок рабочего дня'!$D$2</f>
        <v>13020</v>
      </c>
      <c r="F8" s="81">
        <f>D8*('Шаг1. Распорядок рабочего дня'!$D$5-'Шаг1. Распорядок рабочего дня'!$D$7-'Шаг1. Распорядок рабочего дня'!$D$8)</f>
        <v>134540</v>
      </c>
      <c r="G8" s="82">
        <f>F8/SUM($F$8:$F$10)</f>
        <v>0.6458333333333334</v>
      </c>
      <c r="H8" s="90" t="s">
        <v>122</v>
      </c>
    </row>
    <row r="9" spans="1:8" ht="27">
      <c r="A9" s="78" t="s">
        <v>115</v>
      </c>
      <c r="B9" s="7" t="s">
        <v>123</v>
      </c>
      <c r="C9" s="7" t="s">
        <v>114</v>
      </c>
      <c r="D9" s="79">
        <f>D4*'Шаг3. Финансовые показатели '!D2</f>
        <v>140</v>
      </c>
      <c r="E9" s="80">
        <f>D9*'Шаг1. Распорядок рабочего дня'!$D$2</f>
        <v>2940</v>
      </c>
      <c r="F9" s="81">
        <f>D9*('Шаг1. Распорядок рабочего дня'!$D$5-'Шаг1. Распорядок рабочего дня'!$D$7-'Шаг1. Распорядок рабочего дня'!$D$8)</f>
        <v>30380</v>
      </c>
      <c r="G9" s="82">
        <f>F9/SUM($F$8:$F$10)</f>
        <v>0.14583333333333334</v>
      </c>
      <c r="H9" s="90" t="s">
        <v>124</v>
      </c>
    </row>
    <row r="10" spans="1:8" ht="27">
      <c r="A10" s="84" t="s">
        <v>117</v>
      </c>
      <c r="B10" s="85" t="s">
        <v>125</v>
      </c>
      <c r="C10" s="85" t="s">
        <v>114</v>
      </c>
      <c r="D10" s="86">
        <f>D5*'Шаг3. Финансовые показатели '!D2</f>
        <v>200</v>
      </c>
      <c r="E10" s="87">
        <f>D10*'Шаг1. Распорядок рабочего дня'!$D$2</f>
        <v>4200</v>
      </c>
      <c r="F10" s="88">
        <f>D10*('Шаг1. Распорядок рабочего дня'!$D$5-'Шаг1. Распорядок рабочего дня'!$D$7-'Шаг1. Распорядок рабочего дня'!$D$8)</f>
        <v>43400</v>
      </c>
      <c r="G10" s="89">
        <f>F10/SUM($F$8:$F$10)</f>
        <v>0.20833333333333334</v>
      </c>
      <c r="H10" s="90" t="s">
        <v>126</v>
      </c>
    </row>
    <row r="11" spans="1:8" ht="13.5">
      <c r="A11" s="101"/>
      <c r="B11" s="102"/>
      <c r="C11" s="102"/>
      <c r="D11" s="103"/>
      <c r="E11" s="104"/>
      <c r="F11" s="96"/>
      <c r="G11" s="96"/>
      <c r="H11" s="97"/>
    </row>
  </sheetData>
  <sheetProtection password="E491" sheet="1" objects="1" scenarios="1"/>
  <printOptions/>
  <pageMargins left="0.7" right="0.7" top="0.75" bottom="0.75" header="0.5118055555555555" footer="0.5118055555555555"/>
  <pageSetup horizontalDpi="300" verticalDpi="300" orientation="landscape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7109375" style="105" customWidth="1"/>
    <col min="2" max="2" width="81.57421875" style="2" customWidth="1"/>
    <col min="3" max="3" width="5.7109375" style="2" customWidth="1"/>
    <col min="4" max="4" width="9.7109375" style="2" customWidth="1"/>
    <col min="5" max="5" width="11.28125" style="2" customWidth="1"/>
    <col min="6" max="6" width="22.8515625" style="65" customWidth="1"/>
    <col min="7" max="7" width="17.7109375" style="65" customWidth="1"/>
    <col min="8" max="8" width="27.140625" style="66" customWidth="1"/>
    <col min="9" max="9" width="13.57421875" style="106" customWidth="1"/>
    <col min="10" max="10" width="16.28125" style="106" customWidth="1"/>
    <col min="11" max="16384" width="9.140625" style="2" customWidth="1"/>
  </cols>
  <sheetData>
    <row r="1" spans="1:10" ht="52.5" customHeight="1">
      <c r="A1" s="107">
        <v>5</v>
      </c>
      <c r="B1" s="68" t="s">
        <v>127</v>
      </c>
      <c r="C1" s="68" t="s">
        <v>105</v>
      </c>
      <c r="D1" s="68" t="s">
        <v>128</v>
      </c>
      <c r="E1" s="69" t="s">
        <v>129</v>
      </c>
      <c r="F1" s="108" t="s">
        <v>130</v>
      </c>
      <c r="G1" s="109" t="s">
        <v>131</v>
      </c>
      <c r="H1" s="72"/>
      <c r="I1" s="193"/>
      <c r="J1" s="193"/>
    </row>
    <row r="2" spans="1:8" ht="13.5">
      <c r="A2" s="111" t="s">
        <v>132</v>
      </c>
      <c r="B2" s="74" t="s">
        <v>133</v>
      </c>
      <c r="C2" s="112"/>
      <c r="D2" s="113"/>
      <c r="E2" s="113"/>
      <c r="F2" s="114"/>
      <c r="G2" s="115"/>
      <c r="H2" s="116"/>
    </row>
    <row r="3" spans="1:8" ht="13.5">
      <c r="A3" s="117" t="s">
        <v>134</v>
      </c>
      <c r="B3" s="7" t="s">
        <v>135</v>
      </c>
      <c r="C3" s="7" t="s">
        <v>136</v>
      </c>
      <c r="D3" s="118">
        <f>$D$6*'Шаг4. Расчёт временных затрат'!$G$3</f>
        <v>920.4997916666667</v>
      </c>
      <c r="E3" s="118">
        <f>D3*'Шаг1. Распорядок рабочего дня'!$D$2</f>
        <v>19330.495625000003</v>
      </c>
      <c r="F3" s="119">
        <f>D3*('Шаг1. Распорядок рабочего дня'!$D$5-'Шаг1. Распорядок рабочего дня'!$D$7-'Шаг1. Распорядок рабочего дня'!$D$8)</f>
        <v>199748.45479166668</v>
      </c>
      <c r="G3" s="82">
        <f>F3/SUM($F$3:$F$5)</f>
        <v>0.6458333333333334</v>
      </c>
      <c r="H3" s="90" t="s">
        <v>122</v>
      </c>
    </row>
    <row r="4" spans="1:8" ht="20.25" customHeight="1">
      <c r="A4" s="117" t="s">
        <v>137</v>
      </c>
      <c r="B4" s="7" t="s">
        <v>138</v>
      </c>
      <c r="C4" s="7" t="s">
        <v>136</v>
      </c>
      <c r="D4" s="118">
        <f>$D$6*'Шаг4. Расчёт временных затрат'!$G$4</f>
        <v>207.85479166666667</v>
      </c>
      <c r="E4" s="118">
        <f>D4*'Шаг1. Распорядок рабочего дня'!$D$2</f>
        <v>4364.950625</v>
      </c>
      <c r="F4" s="119">
        <f>D4*('Шаг1. Распорядок рабочего дня'!$D$5-'Шаг1. Распорядок рабочего дня'!$D$7-'Шаг1. Распорядок рабочего дня'!$D$8)</f>
        <v>45104.48979166667</v>
      </c>
      <c r="G4" s="82">
        <f>F4/SUM($F$3:$F$5)</f>
        <v>0.14583333333333334</v>
      </c>
      <c r="H4" s="90" t="s">
        <v>124</v>
      </c>
    </row>
    <row r="5" spans="1:10" s="121" customFormat="1" ht="13.5">
      <c r="A5" s="117" t="s">
        <v>139</v>
      </c>
      <c r="B5" s="85" t="s">
        <v>140</v>
      </c>
      <c r="C5" s="41" t="s">
        <v>136</v>
      </c>
      <c r="D5" s="118">
        <f>$D$6*'Шаг4. Расчёт временных затрат'!$G$5</f>
        <v>296.9354166666667</v>
      </c>
      <c r="E5" s="118">
        <f>D5*'Шаг1. Распорядок рабочего дня'!$D$2</f>
        <v>6235.643750000001</v>
      </c>
      <c r="F5" s="119">
        <f>D5*('Шаг1. Распорядок рабочего дня'!$D$5-'Шаг1. Распорядок рабочего дня'!$D$7-'Шаг1. Распорядок рабочего дня'!$D$8)</f>
        <v>64434.98541666667</v>
      </c>
      <c r="G5" s="82">
        <f>F5/SUM($F$3:$F$5)</f>
        <v>0.20833333333333334</v>
      </c>
      <c r="H5" s="90" t="s">
        <v>126</v>
      </c>
      <c r="I5" s="120"/>
      <c r="J5" s="120"/>
    </row>
    <row r="6" spans="1:8" ht="13.5">
      <c r="A6" s="122" t="s">
        <v>141</v>
      </c>
      <c r="B6" s="85" t="s">
        <v>142</v>
      </c>
      <c r="C6" s="85" t="s">
        <v>136</v>
      </c>
      <c r="D6" s="123">
        <f>ROUND('Шаг3. Финансовые показатели '!D5/'Шаг1. Распорядок рабочего дня'!D2,2)</f>
        <v>1425.29</v>
      </c>
      <c r="E6" s="123">
        <f>D6*'Шаг1. Распорядок рабочего дня'!$D$2</f>
        <v>29931.09</v>
      </c>
      <c r="F6" s="124">
        <f>D6*('Шаг1. Распорядок рабочего дня'!D5-'Шаг1. Распорядок рабочего дня'!D7-'Шаг1. Распорядок рабочего дня'!D8)</f>
        <v>309287.93</v>
      </c>
      <c r="G6" s="125"/>
      <c r="H6" s="116"/>
    </row>
    <row r="7" spans="2:3" ht="13.5">
      <c r="B7" s="126"/>
      <c r="C7" s="126"/>
    </row>
    <row r="8" spans="1:8" ht="13.5">
      <c r="A8" s="111" t="s">
        <v>143</v>
      </c>
      <c r="B8" s="74" t="s">
        <v>144</v>
      </c>
      <c r="C8" s="112"/>
      <c r="D8" s="113"/>
      <c r="E8" s="113"/>
      <c r="F8" s="114"/>
      <c r="G8" s="115"/>
      <c r="H8" s="116"/>
    </row>
    <row r="9" spans="1:8" ht="13.5">
      <c r="A9" s="117" t="s">
        <v>145</v>
      </c>
      <c r="B9" s="7" t="s">
        <v>146</v>
      </c>
      <c r="C9" s="7" t="s">
        <v>136</v>
      </c>
      <c r="D9" s="118">
        <f>$D$12*'Шаг4. Расчёт временных затрат'!$G$3</f>
        <v>1840.9995833333335</v>
      </c>
      <c r="E9" s="118">
        <f>D9*'Шаг1. Распорядок рабочего дня'!$D$2</f>
        <v>38660.99125000001</v>
      </c>
      <c r="F9" s="119">
        <f>D9*('Шаг1. Распорядок рабочего дня'!$D$5-'Шаг1. Распорядок рабочего дня'!$D$7-'Шаг1. Распорядок рабочего дня'!$D$8)</f>
        <v>399496.90958333336</v>
      </c>
      <c r="G9" s="82">
        <f>F9/F12</f>
        <v>0.6458333333333334</v>
      </c>
      <c r="H9" s="116"/>
    </row>
    <row r="10" spans="1:8" ht="13.5">
      <c r="A10" s="117" t="s">
        <v>147</v>
      </c>
      <c r="B10" s="7" t="s">
        <v>148</v>
      </c>
      <c r="C10" s="7" t="s">
        <v>136</v>
      </c>
      <c r="D10" s="118">
        <f>$D$12*'Шаг4. Расчёт временных затрат'!$G$4</f>
        <v>415.70958333333334</v>
      </c>
      <c r="E10" s="118">
        <f>D10*'Шаг1. Распорядок рабочего дня'!$D$2</f>
        <v>8729.90125</v>
      </c>
      <c r="F10" s="119">
        <f>D10*('Шаг1. Распорядок рабочего дня'!$D$5-'Шаг1. Распорядок рабочего дня'!$D$7-'Шаг1. Распорядок рабочего дня'!$D$8)</f>
        <v>90208.97958333333</v>
      </c>
      <c r="G10" s="82">
        <f>F10/F12</f>
        <v>0.14583333333333334</v>
      </c>
      <c r="H10" s="116"/>
    </row>
    <row r="11" spans="1:10" s="121" customFormat="1" ht="27">
      <c r="A11" s="117" t="s">
        <v>149</v>
      </c>
      <c r="B11" s="85" t="s">
        <v>150</v>
      </c>
      <c r="C11" s="41" t="s">
        <v>136</v>
      </c>
      <c r="D11" s="118">
        <f>$D$12*'Шаг4. Расчёт временных затрат'!$G$5</f>
        <v>593.8708333333334</v>
      </c>
      <c r="E11" s="118">
        <f>D11*'Шаг1. Распорядок рабочего дня'!$D$2</f>
        <v>12471.287500000002</v>
      </c>
      <c r="F11" s="119">
        <f>D11*('Шаг1. Распорядок рабочего дня'!$D$5-'Шаг1. Распорядок рабочего дня'!$D$7-'Шаг1. Распорядок рабочего дня'!$D$8)</f>
        <v>128869.97083333334</v>
      </c>
      <c r="G11" s="82">
        <f>F11/F12</f>
        <v>0.20833333333333334</v>
      </c>
      <c r="H11" s="127"/>
      <c r="I11" s="120"/>
      <c r="J11" s="120"/>
    </row>
    <row r="12" spans="1:8" ht="30">
      <c r="A12" s="122" t="s">
        <v>151</v>
      </c>
      <c r="B12" s="85" t="s">
        <v>152</v>
      </c>
      <c r="C12" s="85" t="s">
        <v>136</v>
      </c>
      <c r="D12" s="123">
        <f>D6*'Шаг3. Финансовые показатели '!D2</f>
        <v>2850.58</v>
      </c>
      <c r="E12" s="123">
        <f>D12*'Шаг1. Распорядок рабочего дня'!$D$2</f>
        <v>59862.18</v>
      </c>
      <c r="F12" s="128">
        <f>D12*('Шаг1. Распорядок рабочего дня'!D5-'Шаг1. Распорядок рабочего дня'!D7-'Шаг1. Распорядок рабочего дня'!D8)</f>
        <v>618575.86</v>
      </c>
      <c r="G12" s="129"/>
      <c r="H12" s="116"/>
    </row>
    <row r="13" spans="1:10" s="121" customFormat="1" ht="15">
      <c r="A13" s="130"/>
      <c r="B13" s="131"/>
      <c r="C13" s="132"/>
      <c r="D13" s="133"/>
      <c r="E13" s="133"/>
      <c r="F13" s="96"/>
      <c r="G13" s="134"/>
      <c r="H13" s="127"/>
      <c r="I13" s="120"/>
      <c r="J13" s="120"/>
    </row>
    <row r="14" spans="1:10" s="53" customFormat="1" ht="15.75" customHeight="1">
      <c r="A14" s="135" t="s">
        <v>153</v>
      </c>
      <c r="B14" s="136" t="s">
        <v>154</v>
      </c>
      <c r="C14" s="194">
        <f>F9</f>
        <v>399496.90958333336</v>
      </c>
      <c r="D14" s="194"/>
      <c r="E14" s="137"/>
      <c r="F14" s="138"/>
      <c r="G14" s="138"/>
      <c r="H14" s="138"/>
      <c r="I14" s="106"/>
      <c r="J14" s="138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password="E491" sheet="1" objects="1" scenarios="1"/>
  <mergeCells count="2">
    <mergeCell ref="I1:J1"/>
    <mergeCell ref="C14:D14"/>
  </mergeCells>
  <printOptions/>
  <pageMargins left="0.7" right="0.7" top="0.75" bottom="0.75" header="0.5118055555555555" footer="0.5118055555555555"/>
  <pageSetup horizontalDpi="300" verticalDpi="300" orientation="landscape" paperSize="9" scale="70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7109375" style="64" customWidth="1"/>
    <col min="2" max="2" width="82.7109375" style="2" customWidth="1"/>
    <col min="3" max="3" width="18.140625" style="2" customWidth="1"/>
    <col min="4" max="4" width="20.57421875" style="2" customWidth="1"/>
    <col min="5" max="5" width="15.7109375" style="2" customWidth="1"/>
    <col min="6" max="6" width="22.8515625" style="65" customWidth="1"/>
    <col min="7" max="7" width="17.7109375" style="66" customWidth="1"/>
    <col min="8" max="8" width="27.140625" style="66" customWidth="1"/>
    <col min="9" max="9" width="13.57421875" style="106" customWidth="1"/>
    <col min="10" max="10" width="16.28125" style="106" customWidth="1"/>
    <col min="11" max="16384" width="9.140625" style="2" customWidth="1"/>
  </cols>
  <sheetData>
    <row r="1" spans="1:10" s="141" customFormat="1" ht="15" customHeight="1">
      <c r="A1" s="107" t="s">
        <v>155</v>
      </c>
      <c r="B1" s="139" t="s">
        <v>156</v>
      </c>
      <c r="C1" s="195">
        <f>'Шаг5. Расчёт финансовых зат'!F9</f>
        <v>399496.90958333336</v>
      </c>
      <c r="D1" s="195"/>
      <c r="E1" s="140"/>
      <c r="F1" s="210" t="str">
        <f>IF('Шаг3. Финансовые показатели '!D2=1,"Тариф Стандарт","Тариф Бизнес")</f>
        <v>Тариф Бизнес</v>
      </c>
      <c r="G1" s="138"/>
      <c r="H1" s="138"/>
      <c r="I1" s="106"/>
      <c r="J1" s="196" t="s">
        <v>157</v>
      </c>
    </row>
    <row r="2" spans="1:10" s="141" customFormat="1" ht="15" customHeight="1">
      <c r="A2" s="142"/>
      <c r="B2" s="143" t="s">
        <v>158</v>
      </c>
      <c r="C2" s="197" t="s">
        <v>159</v>
      </c>
      <c r="D2" s="197"/>
      <c r="E2" s="140"/>
      <c r="F2" s="144" t="s">
        <v>160</v>
      </c>
      <c r="G2" s="138"/>
      <c r="H2" s="138"/>
      <c r="I2" s="145"/>
      <c r="J2" s="196"/>
    </row>
    <row r="3" spans="1:10" ht="15" customHeight="1">
      <c r="A3" s="146"/>
      <c r="B3" s="147"/>
      <c r="C3" s="147" t="s">
        <v>161</v>
      </c>
      <c r="D3" s="147" t="s">
        <v>162</v>
      </c>
      <c r="E3" s="147"/>
      <c r="F3" s="148" t="s">
        <v>162</v>
      </c>
      <c r="G3" s="110"/>
      <c r="H3" s="110"/>
      <c r="I3" s="149"/>
      <c r="J3" s="150" t="s">
        <v>163</v>
      </c>
    </row>
    <row r="4" spans="1:10" ht="15">
      <c r="A4" s="151" t="s">
        <v>164</v>
      </c>
      <c r="B4" s="46" t="s">
        <v>165</v>
      </c>
      <c r="C4" s="46" t="s">
        <v>166</v>
      </c>
      <c r="D4" s="152">
        <f>'Шаг2.Технологические показатели'!D4*('Шаг1. Распорядок рабочего дня'!D5-'Шаг1. Распорядок рабочего дня'!D7-'Шаг1. Распорядок рабочего дня'!D8)*'Шаг3. Финансовые показатели '!D2</f>
        <v>26040</v>
      </c>
      <c r="E4" s="153"/>
      <c r="F4" s="211">
        <f>IF(F1="Тариф Стандарт",7*40*'Шаг1. Распорядок рабочего дня'!D6,17*40*'Шаг1. Распорядок рабочего дня'!D6)</f>
        <v>248200</v>
      </c>
      <c r="G4" s="116"/>
      <c r="H4" s="116"/>
      <c r="I4" s="155"/>
      <c r="J4" s="155">
        <f>17*30*12*100</f>
        <v>612000</v>
      </c>
    </row>
    <row r="5" spans="1:10" ht="30">
      <c r="A5" s="151" t="s">
        <v>167</v>
      </c>
      <c r="B5" s="46" t="s">
        <v>168</v>
      </c>
      <c r="C5" s="46" t="s">
        <v>166</v>
      </c>
      <c r="D5" s="152">
        <f>'Шаг2.Технологические показатели'!D6*('Шаг1. Распорядок рабочего дня'!D5-'Шаг1. Распорядок рабочего дня'!D7-'Шаг1. Распорядок рабочего дня'!D8)*'Шаг3. Финансовые показатели '!D2</f>
        <v>8680</v>
      </c>
      <c r="E5" s="153"/>
      <c r="F5" s="154">
        <f>F4*25%</f>
        <v>62050</v>
      </c>
      <c r="G5" s="116"/>
      <c r="H5" s="116"/>
      <c r="I5" s="155"/>
      <c r="J5" s="155">
        <f>J4*25%</f>
        <v>153000</v>
      </c>
    </row>
    <row r="6" spans="1:10" ht="30">
      <c r="A6" s="151" t="s">
        <v>169</v>
      </c>
      <c r="B6" s="46" t="s">
        <v>170</v>
      </c>
      <c r="C6" s="46" t="s">
        <v>166</v>
      </c>
      <c r="D6" s="152">
        <f>'Шаг2.Технологические показатели'!D8*('Шаг1. Распорядок рабочего дня'!D5-'Шаг1. Распорядок рабочего дня'!D7-'Шаг1. Распорядок рабочего дня'!D8)*'Шаг3. Финансовые показатели '!D2</f>
        <v>2170</v>
      </c>
      <c r="E6" s="153"/>
      <c r="F6" s="156">
        <f>ROUNDDOWN(F5*D7,0)</f>
        <v>20683</v>
      </c>
      <c r="G6" s="127"/>
      <c r="H6" s="127"/>
      <c r="I6" s="155"/>
      <c r="J6" s="155">
        <f>J5*D7</f>
        <v>51000</v>
      </c>
    </row>
    <row r="7" spans="1:10" ht="30" customHeight="1">
      <c r="A7" s="151" t="s">
        <v>171</v>
      </c>
      <c r="B7" s="7" t="s">
        <v>172</v>
      </c>
      <c r="C7" s="7" t="s">
        <v>81</v>
      </c>
      <c r="D7" s="198">
        <f>D5/D4</f>
        <v>0.3333333333333333</v>
      </c>
      <c r="E7" s="198"/>
      <c r="F7" s="198"/>
      <c r="G7" s="157"/>
      <c r="H7" s="157"/>
      <c r="I7" s="158"/>
      <c r="J7" s="159">
        <f>D7</f>
        <v>0.3333333333333333</v>
      </c>
    </row>
    <row r="8" spans="1:10" ht="15">
      <c r="A8" s="151" t="s">
        <v>173</v>
      </c>
      <c r="B8" s="160" t="s">
        <v>174</v>
      </c>
      <c r="C8" s="146" t="s">
        <v>136</v>
      </c>
      <c r="D8" s="161">
        <f>C1</f>
        <v>399496.90958333336</v>
      </c>
      <c r="E8" s="118"/>
      <c r="F8" s="162">
        <f>IF(F1="Тариф Стандарт",(262+500+49)*65,(1000+500+320)*65)</f>
        <v>118300</v>
      </c>
      <c r="G8" s="163"/>
      <c r="H8" s="163"/>
      <c r="I8" s="155"/>
      <c r="J8" s="155">
        <f>(3000+500+8*100)*65</f>
        <v>279500</v>
      </c>
    </row>
    <row r="9" spans="1:10" ht="15">
      <c r="A9" s="151" t="s">
        <v>175</v>
      </c>
      <c r="B9" s="7" t="s">
        <v>176</v>
      </c>
      <c r="C9" s="7"/>
      <c r="D9" s="164">
        <f>ROUNDUP('Шаг3. Финансовые показатели '!D2*'Шаг3. Финансовые показатели '!D8*(('Шаг1. Распорядок рабочего дня'!D5-'Шаг1. Распорядок рабочего дня'!D7-'Шаг1. Распорядок рабочего дня'!D8)/30),0)</f>
        <v>58</v>
      </c>
      <c r="E9" s="118"/>
      <c r="F9" s="165">
        <f>ROUNDDOWN(F6*D10,0)</f>
        <v>552</v>
      </c>
      <c r="G9" s="116"/>
      <c r="H9" s="116"/>
      <c r="I9" s="155"/>
      <c r="J9" s="155"/>
    </row>
    <row r="10" spans="1:10" ht="28.5" customHeight="1">
      <c r="A10" s="151" t="s">
        <v>177</v>
      </c>
      <c r="B10" s="7" t="s">
        <v>178</v>
      </c>
      <c r="C10" s="7" t="s">
        <v>81</v>
      </c>
      <c r="D10" s="199">
        <f>D9/D6</f>
        <v>0.026728110599078342</v>
      </c>
      <c r="E10" s="199"/>
      <c r="F10" s="199"/>
      <c r="G10" s="116"/>
      <c r="H10" s="116"/>
      <c r="I10" s="155"/>
      <c r="J10" s="155"/>
    </row>
    <row r="11" spans="1:10" ht="15">
      <c r="A11" s="151" t="s">
        <v>179</v>
      </c>
      <c r="B11" s="7" t="s">
        <v>180</v>
      </c>
      <c r="C11" s="7" t="s">
        <v>136</v>
      </c>
      <c r="D11" s="166">
        <f>ROUND(D8/D6,4)</f>
        <v>184.1</v>
      </c>
      <c r="E11" s="118"/>
      <c r="F11" s="167">
        <f>ROUND(F8/F6,2)</f>
        <v>5.72</v>
      </c>
      <c r="G11" s="163"/>
      <c r="H11" s="163"/>
      <c r="I11" s="155"/>
      <c r="J11" s="155">
        <f>J8/J6</f>
        <v>5.480392156862745</v>
      </c>
    </row>
    <row r="12" spans="1:10" s="172" customFormat="1" ht="14.25" customHeight="1">
      <c r="A12" s="200" t="s">
        <v>181</v>
      </c>
      <c r="B12" s="201" t="s">
        <v>182</v>
      </c>
      <c r="C12" s="7" t="s">
        <v>114</v>
      </c>
      <c r="D12" s="118">
        <f>'Шаг4. Расчёт временных затрат'!F8/'Шаг6. Итоги.'!D9</f>
        <v>2319.655172413793</v>
      </c>
      <c r="E12" s="168"/>
      <c r="F12" s="169"/>
      <c r="G12" s="170"/>
      <c r="H12" s="170"/>
      <c r="I12" s="171"/>
      <c r="J12" s="171"/>
    </row>
    <row r="13" spans="1:10" s="172" customFormat="1" ht="15">
      <c r="A13" s="200"/>
      <c r="B13" s="201"/>
      <c r="C13" s="7" t="s">
        <v>183</v>
      </c>
      <c r="D13" s="173">
        <f>D12/60</f>
        <v>38.660919540229884</v>
      </c>
      <c r="E13" s="174"/>
      <c r="F13" s="175"/>
      <c r="G13" s="176"/>
      <c r="H13" s="176"/>
      <c r="I13" s="177"/>
      <c r="J13" s="177"/>
    </row>
    <row r="14" spans="1:10" s="172" customFormat="1" ht="15.75" customHeight="1">
      <c r="A14" s="200"/>
      <c r="B14" s="201"/>
      <c r="C14" s="102" t="s">
        <v>136</v>
      </c>
      <c r="D14" s="178">
        <f>'Шаг5. Расчёт финансовых зат'!F9/D9</f>
        <v>6887.877751436782</v>
      </c>
      <c r="E14" s="202" t="s">
        <v>184</v>
      </c>
      <c r="F14" s="202"/>
      <c r="G14" s="179">
        <f>D14/'Шаг3. Финансовые показатели '!D6</f>
        <v>0.6887877751436782</v>
      </c>
      <c r="H14" s="176"/>
      <c r="I14" s="177"/>
      <c r="J14" s="177"/>
    </row>
    <row r="15" spans="1:6" ht="27.75" customHeight="1">
      <c r="A15" s="180">
        <v>7</v>
      </c>
      <c r="B15" s="203" t="s">
        <v>185</v>
      </c>
      <c r="C15" s="203"/>
      <c r="D15" s="203"/>
      <c r="E15" s="203"/>
      <c r="F15" s="203"/>
    </row>
    <row r="16" spans="1:6" ht="28.5">
      <c r="A16" s="181" t="s">
        <v>186</v>
      </c>
      <c r="B16" s="126" t="s">
        <v>187</v>
      </c>
      <c r="C16" s="182">
        <f>'Шаг5. Расчёт финансовых зат'!G9</f>
        <v>0.6458333333333334</v>
      </c>
      <c r="D16" s="183" t="s">
        <v>188</v>
      </c>
      <c r="E16" s="184">
        <f>D9+D9*C16</f>
        <v>95.45833333333334</v>
      </c>
      <c r="F16" s="185" t="s">
        <v>189</v>
      </c>
    </row>
    <row r="17" spans="1:9" ht="29.25" customHeight="1">
      <c r="A17" s="181" t="s">
        <v>190</v>
      </c>
      <c r="B17" s="126" t="s">
        <v>191</v>
      </c>
      <c r="C17" s="186">
        <f>C1</f>
        <v>399496.90958333336</v>
      </c>
      <c r="D17" s="183" t="s">
        <v>192</v>
      </c>
      <c r="E17" s="186">
        <f>F8</f>
        <v>118300</v>
      </c>
      <c r="F17" s="183" t="s">
        <v>193</v>
      </c>
      <c r="G17" s="187">
        <f>C17-E17</f>
        <v>281196.90958333336</v>
      </c>
      <c r="I17" s="188"/>
    </row>
    <row r="18" ht="15">
      <c r="A18" s="181"/>
    </row>
    <row r="19" spans="1:3" ht="15">
      <c r="A19" s="181" t="s">
        <v>194</v>
      </c>
      <c r="B19" s="126" t="s">
        <v>195</v>
      </c>
      <c r="C19" s="189">
        <f>(E16-D9)*'Шаг3. Финансовые показатели '!D6</f>
        <v>374583.33333333343</v>
      </c>
    </row>
    <row r="20" spans="1:8" s="106" customFormat="1" ht="13.5">
      <c r="A20" s="181" t="s">
        <v>196</v>
      </c>
      <c r="B20" s="126" t="s">
        <v>197</v>
      </c>
      <c r="C20" s="189">
        <f>G17+C19</f>
        <v>655780.2429166668</v>
      </c>
      <c r="D20" s="2"/>
      <c r="E20" s="2"/>
      <c r="F20" s="65"/>
      <c r="G20" s="66"/>
      <c r="H20" s="66"/>
    </row>
    <row r="21" spans="1:8" s="106" customFormat="1" ht="58.5" customHeight="1">
      <c r="A21" s="181" t="s">
        <v>198</v>
      </c>
      <c r="B21" s="185" t="s">
        <v>199</v>
      </c>
      <c r="C21" s="190">
        <f>ROUNDDOWN(F6*D10,0)</f>
        <v>552</v>
      </c>
      <c r="D21" s="126" t="s">
        <v>200</v>
      </c>
      <c r="E21" s="126" t="s">
        <v>201</v>
      </c>
      <c r="F21" s="190">
        <f>ROUNDUP(C21/E16*'Шаг3. Финансовые показатели '!D2,0)</f>
        <v>12</v>
      </c>
      <c r="G21" s="138"/>
      <c r="H21" s="138"/>
    </row>
    <row r="23" spans="1:8" s="106" customFormat="1" ht="14.25" customHeight="1">
      <c r="A23" s="64"/>
      <c r="B23" s="191" t="s">
        <v>202</v>
      </c>
      <c r="C23" s="191"/>
      <c r="D23" s="191"/>
      <c r="E23" s="191"/>
      <c r="F23" s="191"/>
      <c r="G23" s="66"/>
      <c r="H23" s="66"/>
    </row>
    <row r="24" spans="1:8" s="106" customFormat="1" ht="32.25" customHeight="1">
      <c r="A24" s="64"/>
      <c r="B24" s="191"/>
      <c r="C24" s="191"/>
      <c r="D24" s="191"/>
      <c r="E24" s="191"/>
      <c r="F24" s="191"/>
      <c r="G24" s="66"/>
      <c r="H24" s="66"/>
    </row>
  </sheetData>
  <sheetProtection password="E491" sheet="1" objects="1" scenarios="1"/>
  <mergeCells count="10">
    <mergeCell ref="B15:F15"/>
    <mergeCell ref="B23:F24"/>
    <mergeCell ref="C1:D1"/>
    <mergeCell ref="J1:J2"/>
    <mergeCell ref="C2:D2"/>
    <mergeCell ref="D7:F7"/>
    <mergeCell ref="D10:F10"/>
    <mergeCell ref="A12:A14"/>
    <mergeCell ref="B12:B14"/>
    <mergeCell ref="E14:F14"/>
  </mergeCells>
  <printOptions/>
  <pageMargins left="0.7" right="0.7" top="0.75" bottom="0.75" header="0.5118055555555555" footer="0.5118055555555555"/>
  <pageSetup horizontalDpi="300" verticalDpi="300" orientation="landscape" paperSize="9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BasAnd</cp:lastModifiedBy>
  <dcterms:modified xsi:type="dcterms:W3CDTF">2019-02-20T12:59:52Z</dcterms:modified>
  <cp:category/>
  <cp:version/>
  <cp:contentType/>
  <cp:contentStatus/>
</cp:coreProperties>
</file>